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omments2.xml" ContentType="application/vnd.openxmlformats-officedocument.spreadsheetml.comment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HP\Desktop\UNDP\Data\SDG 2024 2nd Report\"/>
    </mc:Choice>
  </mc:AlternateContent>
  <xr:revisionPtr revIDLastSave="0" documentId="13_ncr:1_{CBA9A8DF-C438-480A-B27D-B9B59C51924F}" xr6:coauthVersionLast="47" xr6:coauthVersionMax="47" xr10:uidLastSave="{00000000-0000-0000-0000-000000000000}"/>
  <bookViews>
    <workbookView xWindow="-108" yWindow="-108" windowWidth="23256" windowHeight="12456" xr2:uid="{00000000-000D-0000-FFFF-FFFF00000000}"/>
  </bookViews>
  <sheets>
    <sheet name="Total" sheetId="12" r:id="rId1"/>
    <sheet name="Transport" sheetId="14" r:id="rId2"/>
    <sheet name="Schools" sheetId="2" r:id="rId3"/>
    <sheet name="Kindergartens" sheetId="8" r:id="rId4"/>
    <sheet name="Hospitals" sheetId="9" r:id="rId5"/>
    <sheet name="Drinking water" sheetId="10" r:id="rId6"/>
    <sheet name="Irrigation" sheetId="11" r:id="rId7"/>
    <sheet name="Vaccination Programme Coverage" sheetId="13" r:id="rId8"/>
    <sheet name="1" sheetId="7" state="hidden" r:id="rId9"/>
  </sheets>
  <definedNames>
    <definedName name="_xlnm._FilterDatabase" localSheetId="5" hidden="1">'Drinking water'!$B$2:$W$28</definedName>
    <definedName name="_xlnm._FilterDatabase" localSheetId="4" hidden="1">Hospitals!$B$2:$AC$41</definedName>
    <definedName name="_xlnm._FilterDatabase" localSheetId="3" hidden="1">Kindergartens!$B$2:$AB$39</definedName>
    <definedName name="_xlnm._FilterDatabase" localSheetId="2" hidden="1">Schools!$B$2:$AB$37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8" i="8" l="1"/>
  <c r="AA37" i="8"/>
  <c r="AA36" i="8"/>
  <c r="AA34" i="8"/>
  <c r="AA33" i="8"/>
  <c r="AA32" i="8"/>
  <c r="AA31" i="8"/>
  <c r="AA30" i="8"/>
  <c r="AA29" i="8"/>
  <c r="AA28" i="8"/>
  <c r="AA27" i="8"/>
  <c r="AA26" i="8"/>
  <c r="AA25" i="8"/>
  <c r="AA24" i="8"/>
  <c r="AA23" i="8"/>
  <c r="AA22" i="8"/>
  <c r="AA21" i="8"/>
  <c r="AA20" i="8"/>
  <c r="AA19" i="8"/>
  <c r="AA18" i="8"/>
  <c r="AA17" i="8"/>
  <c r="AA16" i="8"/>
  <c r="AA15" i="8"/>
  <c r="AA14" i="8"/>
  <c r="AA13" i="8"/>
  <c r="AA12" i="8"/>
  <c r="AA11" i="8"/>
  <c r="AA10" i="8"/>
  <c r="AA9" i="8"/>
  <c r="AA8" i="8"/>
  <c r="AA7" i="8"/>
  <c r="AA6" i="8"/>
  <c r="AA5" i="8"/>
  <c r="AA4" i="8"/>
  <c r="Y39" i="8"/>
  <c r="AG6" i="12" s="1"/>
  <c r="X39" i="8"/>
  <c r="AF6" i="12" s="1"/>
  <c r="Q6" i="12"/>
  <c r="R6" i="12" s="1"/>
  <c r="O14" i="12" s="1"/>
  <c r="O6" i="12"/>
  <c r="P6" i="12" s="1"/>
  <c r="N14" i="12" s="1"/>
  <c r="G8" i="12"/>
  <c r="E8" i="12"/>
  <c r="F8" i="12" s="1"/>
  <c r="BE6" i="9"/>
  <c r="BE10" i="9"/>
  <c r="AB40" i="9"/>
  <c r="BE4" i="9"/>
  <c r="BE18" i="9" s="1"/>
  <c r="BE19" i="9" s="1"/>
  <c r="BE17" i="9"/>
  <c r="BE5" i="9"/>
  <c r="BE7" i="9"/>
  <c r="BE8" i="9"/>
  <c r="BE9" i="9"/>
  <c r="BE11" i="9"/>
  <c r="BE12" i="9"/>
  <c r="BE13" i="9"/>
  <c r="BE14" i="9"/>
  <c r="BE15" i="9"/>
  <c r="BE16" i="9"/>
  <c r="G5" i="12"/>
  <c r="G6" i="12"/>
  <c r="G7" i="12"/>
  <c r="G9" i="12"/>
  <c r="G10" i="12"/>
  <c r="E5" i="12"/>
  <c r="E6" i="12"/>
  <c r="E7" i="12"/>
  <c r="E9" i="12"/>
  <c r="F9" i="12" s="1"/>
  <c r="E10" i="12"/>
  <c r="F10" i="12" s="1"/>
  <c r="K8" i="14"/>
  <c r="C11" i="12"/>
  <c r="H10" i="12"/>
  <c r="H8" i="12"/>
  <c r="H5" i="12"/>
  <c r="Q40" i="9"/>
  <c r="C5" i="12" s="1"/>
  <c r="O37" i="2"/>
  <c r="C7" i="12" s="1"/>
  <c r="O39" i="8"/>
  <c r="C8" i="12"/>
  <c r="O28" i="10"/>
  <c r="C9" i="12" s="1"/>
  <c r="O17" i="11"/>
  <c r="C10" i="12"/>
  <c r="M8" i="12"/>
  <c r="Q5" i="12"/>
  <c r="Q10" i="12" s="1"/>
  <c r="Q7" i="12"/>
  <c r="Q8" i="12"/>
  <c r="O5" i="12"/>
  <c r="O7" i="12"/>
  <c r="O8" i="12"/>
  <c r="R7" i="12"/>
  <c r="O15" i="12" s="1"/>
  <c r="P7" i="12"/>
  <c r="N15" i="12" s="1"/>
  <c r="H8" i="14"/>
  <c r="Y15" i="12"/>
  <c r="G8" i="14"/>
  <c r="X15" i="12"/>
  <c r="F8" i="14"/>
  <c r="W15" i="12" s="1"/>
  <c r="AC3" i="11"/>
  <c r="AC4" i="11"/>
  <c r="AC5" i="11"/>
  <c r="AC6" i="11"/>
  <c r="AC7" i="11"/>
  <c r="AC8" i="11"/>
  <c r="AC9" i="11"/>
  <c r="AC10" i="11"/>
  <c r="AC11" i="11"/>
  <c r="AC12" i="11"/>
  <c r="AC13" i="11"/>
  <c r="AC14" i="11"/>
  <c r="AC15" i="11"/>
  <c r="AC16" i="11"/>
  <c r="AB3" i="11"/>
  <c r="AB4" i="11"/>
  <c r="AB5" i="11"/>
  <c r="AB6" i="11"/>
  <c r="AB8" i="11"/>
  <c r="AB9" i="11"/>
  <c r="AB10" i="11"/>
  <c r="AB11" i="11"/>
  <c r="AB12" i="11"/>
  <c r="AB13" i="11"/>
  <c r="AB16" i="11"/>
  <c r="Q8" i="11"/>
  <c r="Z3" i="11" s="1"/>
  <c r="Z4" i="11"/>
  <c r="Q13" i="11"/>
  <c r="Q17" i="11" s="1"/>
  <c r="Z5" i="11"/>
  <c r="Z6" i="11"/>
  <c r="Z7" i="11"/>
  <c r="Z8" i="11"/>
  <c r="Z9" i="11"/>
  <c r="Z10" i="11"/>
  <c r="Z11" i="11"/>
  <c r="Z12" i="11"/>
  <c r="Z13" i="11"/>
  <c r="Z14" i="11"/>
  <c r="Z15" i="11"/>
  <c r="Z16" i="11"/>
  <c r="X3" i="11"/>
  <c r="X4" i="11"/>
  <c r="X5" i="11"/>
  <c r="X6" i="11"/>
  <c r="X7" i="11"/>
  <c r="X8" i="11"/>
  <c r="X9" i="11"/>
  <c r="X10" i="11"/>
  <c r="X11" i="11"/>
  <c r="X12" i="11"/>
  <c r="X13" i="11"/>
  <c r="X14" i="11"/>
  <c r="X15" i="11"/>
  <c r="X16" i="11"/>
  <c r="AT4" i="10"/>
  <c r="AT5" i="10"/>
  <c r="AT6" i="10"/>
  <c r="AT7" i="10"/>
  <c r="AT8" i="10"/>
  <c r="AT9" i="10"/>
  <c r="AT10" i="10"/>
  <c r="AT11" i="10"/>
  <c r="AT12" i="10"/>
  <c r="AT13" i="10"/>
  <c r="AT14" i="10"/>
  <c r="AT15" i="10"/>
  <c r="AT16" i="10"/>
  <c r="AT17" i="10"/>
  <c r="AS4" i="10"/>
  <c r="AS5" i="10"/>
  <c r="AS6" i="10"/>
  <c r="AS7" i="10"/>
  <c r="AS8" i="10"/>
  <c r="AS9" i="10"/>
  <c r="AS10" i="10"/>
  <c r="AS11" i="10"/>
  <c r="AS12" i="10"/>
  <c r="AS13" i="10"/>
  <c r="AS14" i="10"/>
  <c r="AS15" i="10"/>
  <c r="AS16" i="10"/>
  <c r="AS17" i="10"/>
  <c r="AR4" i="10"/>
  <c r="AR5" i="10"/>
  <c r="AR6" i="10"/>
  <c r="AR7" i="10"/>
  <c r="AR8" i="10"/>
  <c r="AR9" i="10"/>
  <c r="AR10" i="10"/>
  <c r="AR11" i="10"/>
  <c r="AR12" i="10"/>
  <c r="AR13" i="10"/>
  <c r="AR14" i="10"/>
  <c r="AR15" i="10"/>
  <c r="AR16" i="10"/>
  <c r="AR17" i="10"/>
  <c r="AM4" i="10"/>
  <c r="AM5" i="10"/>
  <c r="AM6" i="10"/>
  <c r="AM7" i="10"/>
  <c r="AM8" i="10"/>
  <c r="AM9" i="10"/>
  <c r="AM10" i="10"/>
  <c r="AM11" i="10"/>
  <c r="AM12" i="10"/>
  <c r="AM13" i="10"/>
  <c r="U27" i="10"/>
  <c r="AD14" i="10" s="1"/>
  <c r="AM14" i="10"/>
  <c r="AM15" i="10"/>
  <c r="AM16" i="10"/>
  <c r="AM17" i="10"/>
  <c r="AL4" i="10"/>
  <c r="AL5" i="10"/>
  <c r="AL6" i="10"/>
  <c r="AL7" i="10"/>
  <c r="AL8" i="10"/>
  <c r="AL9" i="10"/>
  <c r="AL10" i="10"/>
  <c r="AL11" i="10"/>
  <c r="AL12" i="10"/>
  <c r="AL13" i="10"/>
  <c r="AL14" i="10"/>
  <c r="AL15" i="10"/>
  <c r="AL16" i="10"/>
  <c r="AL17" i="10"/>
  <c r="AK4" i="10"/>
  <c r="AK5" i="10"/>
  <c r="AK6" i="10"/>
  <c r="AK7" i="10"/>
  <c r="AK8" i="10"/>
  <c r="AK9" i="10"/>
  <c r="AK10" i="10"/>
  <c r="AK11" i="10"/>
  <c r="AK12" i="10"/>
  <c r="AK13" i="10"/>
  <c r="AK14" i="10"/>
  <c r="AK15" i="10"/>
  <c r="AK16" i="10"/>
  <c r="AK17" i="10"/>
  <c r="AG4" i="10"/>
  <c r="AG5" i="10"/>
  <c r="AG6" i="10"/>
  <c r="AG7" i="10"/>
  <c r="AG8" i="10"/>
  <c r="AG9" i="10"/>
  <c r="AG10" i="10"/>
  <c r="AG11" i="10"/>
  <c r="AG12" i="10"/>
  <c r="AG13" i="10"/>
  <c r="AG14" i="10"/>
  <c r="AG15" i="10"/>
  <c r="AG16" i="10"/>
  <c r="AG17" i="10"/>
  <c r="AF4" i="10"/>
  <c r="AF5" i="10"/>
  <c r="AF6" i="10"/>
  <c r="AF7" i="10"/>
  <c r="AF8" i="10"/>
  <c r="AF9" i="10"/>
  <c r="AF10" i="10"/>
  <c r="AF11" i="10"/>
  <c r="AF12" i="10"/>
  <c r="AF13" i="10"/>
  <c r="AF14" i="10"/>
  <c r="AF15" i="10"/>
  <c r="AF16" i="10"/>
  <c r="AF17" i="10"/>
  <c r="B5" i="9"/>
  <c r="B6" i="9"/>
  <c r="B7" i="9"/>
  <c r="B8" i="9" s="1"/>
  <c r="B9" i="9" s="1"/>
  <c r="B10" i="9" s="1"/>
  <c r="B11" i="9" s="1"/>
  <c r="B12" i="9" s="1"/>
  <c r="B13" i="9" s="1"/>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D4" i="9"/>
  <c r="BD5" i="9"/>
  <c r="BD6" i="9"/>
  <c r="BD7" i="9"/>
  <c r="BD8" i="9"/>
  <c r="BD9" i="9"/>
  <c r="BD18" i="9" s="1"/>
  <c r="BD10" i="9"/>
  <c r="BD11" i="9"/>
  <c r="AC18" i="9"/>
  <c r="BD12" i="9"/>
  <c r="BD13" i="9"/>
  <c r="BD14" i="9"/>
  <c r="BD15" i="9"/>
  <c r="BD16" i="9"/>
  <c r="BD17" i="9"/>
  <c r="BC4" i="9"/>
  <c r="BC5" i="9"/>
  <c r="BC6" i="9"/>
  <c r="BC7" i="9"/>
  <c r="BC8" i="9"/>
  <c r="BC9" i="9"/>
  <c r="BC10" i="9"/>
  <c r="BC11" i="9"/>
  <c r="BC12" i="9"/>
  <c r="BC13" i="9"/>
  <c r="BC14" i="9"/>
  <c r="BC15" i="9"/>
  <c r="BC16" i="9"/>
  <c r="BC17" i="9"/>
  <c r="BB4" i="9"/>
  <c r="BB5" i="9"/>
  <c r="V29" i="9"/>
  <c r="BB6" i="9"/>
  <c r="BB7" i="9"/>
  <c r="BB8" i="9"/>
  <c r="BB9" i="9"/>
  <c r="BB10" i="9"/>
  <c r="BB11" i="9"/>
  <c r="BB12" i="9"/>
  <c r="BB13" i="9"/>
  <c r="BB14" i="9"/>
  <c r="BB15" i="9"/>
  <c r="BB16" i="9"/>
  <c r="BB17" i="9"/>
  <c r="AW4" i="9"/>
  <c r="AY4" i="9"/>
  <c r="AW5" i="9"/>
  <c r="AY5" i="9"/>
  <c r="BA5" i="9"/>
  <c r="AW6" i="9"/>
  <c r="BA6" i="9" s="1"/>
  <c r="AY6" i="9"/>
  <c r="AW7" i="9"/>
  <c r="AY7" i="9"/>
  <c r="BA7" i="9"/>
  <c r="AW8" i="9"/>
  <c r="BA8" i="9" s="1"/>
  <c r="AY8" i="9"/>
  <c r="AW9" i="9"/>
  <c r="BA9" i="9" s="1"/>
  <c r="AY9" i="9"/>
  <c r="AW10" i="9"/>
  <c r="BA10" i="9" s="1"/>
  <c r="AY10" i="9"/>
  <c r="AW11" i="9"/>
  <c r="BA11" i="9" s="1"/>
  <c r="AY11" i="9"/>
  <c r="AW12" i="9"/>
  <c r="AY12" i="9"/>
  <c r="BA12" i="9"/>
  <c r="AW13" i="9"/>
  <c r="BA13" i="9" s="1"/>
  <c r="AY13" i="9"/>
  <c r="AW14" i="9"/>
  <c r="AY14" i="9"/>
  <c r="AW15" i="9"/>
  <c r="BA15" i="9" s="1"/>
  <c r="AY15" i="9"/>
  <c r="AW16" i="9"/>
  <c r="AY16" i="9"/>
  <c r="AW17" i="9"/>
  <c r="BA17" i="9" s="1"/>
  <c r="AY17" i="9"/>
  <c r="AV4" i="9"/>
  <c r="AX4" i="9"/>
  <c r="AX18" i="9" s="1"/>
  <c r="AD9" i="12" s="1"/>
  <c r="AV5" i="9"/>
  <c r="AX5" i="9"/>
  <c r="AZ5" i="9"/>
  <c r="AV6" i="9"/>
  <c r="AZ6" i="9" s="1"/>
  <c r="AX6" i="9"/>
  <c r="AV7" i="9"/>
  <c r="AZ7" i="9" s="1"/>
  <c r="AX7" i="9"/>
  <c r="AV8" i="9"/>
  <c r="AX8" i="9"/>
  <c r="AZ8" i="9"/>
  <c r="AV9" i="9"/>
  <c r="AX9" i="9"/>
  <c r="AZ9" i="9" s="1"/>
  <c r="AV10" i="9"/>
  <c r="AZ10" i="9" s="1"/>
  <c r="AX10" i="9"/>
  <c r="AV11" i="9"/>
  <c r="AX11" i="9"/>
  <c r="AZ11" i="9"/>
  <c r="AV12" i="9"/>
  <c r="AZ12" i="9" s="1"/>
  <c r="AX12" i="9"/>
  <c r="AV13" i="9"/>
  <c r="AZ13" i="9" s="1"/>
  <c r="AX13" i="9"/>
  <c r="AV14" i="9"/>
  <c r="AX14" i="9"/>
  <c r="AZ14" i="9"/>
  <c r="AV15" i="9"/>
  <c r="AX15" i="9"/>
  <c r="AZ15" i="9"/>
  <c r="AV16" i="9"/>
  <c r="AX16" i="9"/>
  <c r="AZ16" i="9" s="1"/>
  <c r="AV17" i="9"/>
  <c r="AX17" i="9"/>
  <c r="AZ17" i="9"/>
  <c r="AQ4" i="9"/>
  <c r="AS4" i="9"/>
  <c r="AT4" i="9"/>
  <c r="AQ5" i="9"/>
  <c r="AU5" i="9" s="1"/>
  <c r="AS5" i="9"/>
  <c r="AR5" i="9" s="1"/>
  <c r="AT5" i="9"/>
  <c r="AQ6" i="9"/>
  <c r="AU6" i="9" s="1"/>
  <c r="AS6" i="9"/>
  <c r="AR6" i="9" s="1"/>
  <c r="AT6" i="9"/>
  <c r="AQ7" i="9"/>
  <c r="AS7" i="9"/>
  <c r="AT7" i="9"/>
  <c r="AR7" i="9"/>
  <c r="AQ8" i="9"/>
  <c r="AS8" i="9"/>
  <c r="AT8" i="9"/>
  <c r="AQ9" i="9"/>
  <c r="AS9" i="9"/>
  <c r="AT9" i="9"/>
  <c r="AR9" i="9" s="1"/>
  <c r="AU9" i="9" s="1"/>
  <c r="AQ10" i="9"/>
  <c r="AS10" i="9"/>
  <c r="AR10" i="9" s="1"/>
  <c r="AU10" i="9" s="1"/>
  <c r="AT10" i="9"/>
  <c r="AQ11" i="9"/>
  <c r="AS11" i="9"/>
  <c r="AR11" i="9" s="1"/>
  <c r="AT11" i="9"/>
  <c r="T18" i="9"/>
  <c r="AQ12" i="9"/>
  <c r="AS12" i="9"/>
  <c r="AT12" i="9"/>
  <c r="AR12" i="9"/>
  <c r="AU12" i="9" s="1"/>
  <c r="AQ13" i="9"/>
  <c r="AS13" i="9"/>
  <c r="AT13" i="9"/>
  <c r="AR13" i="9"/>
  <c r="AU13" i="9" s="1"/>
  <c r="AQ14" i="9"/>
  <c r="AS14" i="9"/>
  <c r="AT14" i="9"/>
  <c r="AQ15" i="9"/>
  <c r="AS15" i="9"/>
  <c r="AT15" i="9"/>
  <c r="AR15" i="9"/>
  <c r="AU15" i="9"/>
  <c r="AQ16" i="9"/>
  <c r="AS16" i="9"/>
  <c r="AR16" i="9" s="1"/>
  <c r="AU16" i="9" s="1"/>
  <c r="AT16" i="9"/>
  <c r="AQ17" i="9"/>
  <c r="AS17" i="9"/>
  <c r="AT17" i="9"/>
  <c r="BE4" i="2"/>
  <c r="BE5" i="2"/>
  <c r="BE6" i="2"/>
  <c r="BE7" i="2"/>
  <c r="BE8" i="2"/>
  <c r="BE9" i="2"/>
  <c r="BE10" i="2"/>
  <c r="BE11" i="2"/>
  <c r="BE12" i="2"/>
  <c r="BE13" i="2"/>
  <c r="BE14" i="2"/>
  <c r="BE15" i="2"/>
  <c r="BE16" i="2"/>
  <c r="BE17" i="2"/>
  <c r="BC4" i="8"/>
  <c r="BC5" i="8"/>
  <c r="BC6" i="8"/>
  <c r="BC7" i="8"/>
  <c r="BC8" i="8"/>
  <c r="BC9" i="8"/>
  <c r="BC10" i="8"/>
  <c r="BC11" i="8"/>
  <c r="BC12" i="8"/>
  <c r="BC13" i="8"/>
  <c r="BC14" i="8"/>
  <c r="BC15" i="8"/>
  <c r="BC16" i="8"/>
  <c r="BC17" i="8"/>
  <c r="BD4" i="2"/>
  <c r="BD18" i="2" s="1"/>
  <c r="AL5" i="12" s="1"/>
  <c r="BD5" i="2"/>
  <c r="BD6" i="2"/>
  <c r="BD7" i="2"/>
  <c r="BD8" i="2"/>
  <c r="BD9" i="2"/>
  <c r="BD10" i="2"/>
  <c r="BD11" i="2"/>
  <c r="BD12" i="2"/>
  <c r="BD13" i="2"/>
  <c r="BD14" i="2"/>
  <c r="BD15" i="2"/>
  <c r="BD16" i="2"/>
  <c r="BD17" i="2"/>
  <c r="BC4" i="2"/>
  <c r="BC5" i="2"/>
  <c r="BC6" i="2"/>
  <c r="BC7" i="2"/>
  <c r="BC8" i="2"/>
  <c r="BC9" i="2"/>
  <c r="BC10" i="2"/>
  <c r="BC11" i="2"/>
  <c r="BC12" i="2"/>
  <c r="BC13" i="2"/>
  <c r="BC14" i="2"/>
  <c r="BC15" i="2"/>
  <c r="BC16" i="2"/>
  <c r="BC17" i="2"/>
  <c r="BB4" i="8"/>
  <c r="BB5" i="8"/>
  <c r="BB6" i="8"/>
  <c r="BB7" i="8"/>
  <c r="BB8" i="8"/>
  <c r="BB9" i="8"/>
  <c r="BB10" i="8"/>
  <c r="BB11" i="8"/>
  <c r="BB12" i="8"/>
  <c r="BB13" i="8"/>
  <c r="BB14" i="8"/>
  <c r="Z35" i="8"/>
  <c r="AA35" i="8" s="1"/>
  <c r="BB15" i="8"/>
  <c r="BB16" i="8"/>
  <c r="BB17" i="8"/>
  <c r="BB4" i="2"/>
  <c r="BB5" i="2"/>
  <c r="BB6" i="2"/>
  <c r="BB7" i="2"/>
  <c r="BB8" i="2"/>
  <c r="BB9" i="2"/>
  <c r="BB10" i="2"/>
  <c r="BB11" i="2"/>
  <c r="BB12" i="2"/>
  <c r="BB18" i="2" s="1"/>
  <c r="BB13" i="2"/>
  <c r="BB14" i="2"/>
  <c r="BB15" i="2"/>
  <c r="BB16" i="2"/>
  <c r="BB17" i="2"/>
  <c r="BA4" i="8"/>
  <c r="BA18" i="8" s="1"/>
  <c r="AI6" i="12" s="1"/>
  <c r="BA5" i="8"/>
  <c r="BA6" i="8"/>
  <c r="BA7" i="8"/>
  <c r="BA8" i="8"/>
  <c r="BA9" i="8"/>
  <c r="BA10" i="8"/>
  <c r="BA11" i="8"/>
  <c r="BA12" i="8"/>
  <c r="BA13" i="8"/>
  <c r="BA14" i="8"/>
  <c r="T35" i="8"/>
  <c r="BA15" i="8"/>
  <c r="BA16" i="8"/>
  <c r="BA17" i="8"/>
  <c r="BA4" i="2"/>
  <c r="BA5" i="2"/>
  <c r="BA6" i="2"/>
  <c r="BA7" i="2"/>
  <c r="BA8" i="2"/>
  <c r="BA9" i="2"/>
  <c r="BA10" i="2"/>
  <c r="BA11" i="2"/>
  <c r="BA12" i="2"/>
  <c r="BA13" i="2"/>
  <c r="BA14" i="2"/>
  <c r="BA15" i="2"/>
  <c r="BA16" i="2"/>
  <c r="BA17" i="2"/>
  <c r="AZ4" i="8"/>
  <c r="AZ5" i="8"/>
  <c r="AZ6" i="8"/>
  <c r="AZ7" i="8"/>
  <c r="AZ8" i="8"/>
  <c r="AZ9" i="8"/>
  <c r="AZ10" i="8"/>
  <c r="AZ11" i="8"/>
  <c r="AZ12" i="8"/>
  <c r="AZ18" i="8" s="1"/>
  <c r="AZ13" i="8"/>
  <c r="AZ14" i="8"/>
  <c r="AZ15" i="8"/>
  <c r="AZ16" i="8"/>
  <c r="AZ17" i="8"/>
  <c r="AX4" i="2"/>
  <c r="AX5" i="2"/>
  <c r="AX6" i="2"/>
  <c r="AX7" i="2"/>
  <c r="AX8" i="2"/>
  <c r="AX9" i="2"/>
  <c r="AX10" i="2"/>
  <c r="AX11" i="2"/>
  <c r="AX12" i="2"/>
  <c r="AY12" i="2" s="1"/>
  <c r="AX13" i="2"/>
  <c r="AX14" i="2"/>
  <c r="AX15" i="2"/>
  <c r="AX16" i="2"/>
  <c r="AX17" i="2"/>
  <c r="AW4" i="8"/>
  <c r="AW5" i="8"/>
  <c r="AW6" i="8"/>
  <c r="AW7" i="8"/>
  <c r="AW8" i="8"/>
  <c r="AW9" i="8"/>
  <c r="AY9" i="8" s="1"/>
  <c r="AW10" i="8"/>
  <c r="AW11" i="8"/>
  <c r="AX11" i="8" s="1"/>
  <c r="AW12" i="8"/>
  <c r="AW13" i="8"/>
  <c r="AW14" i="8"/>
  <c r="AW15" i="8"/>
  <c r="AY15" i="8" s="1"/>
  <c r="AW16" i="8"/>
  <c r="AW17" i="8"/>
  <c r="AU4" i="2"/>
  <c r="AV4" i="2"/>
  <c r="AU5" i="2"/>
  <c r="AW5" i="2" s="1"/>
  <c r="AV5" i="2"/>
  <c r="AU6" i="2"/>
  <c r="AV6" i="2"/>
  <c r="AW6" i="2" s="1"/>
  <c r="AU7" i="2"/>
  <c r="AV7" i="2"/>
  <c r="AV18" i="2" s="1"/>
  <c r="AU8" i="2"/>
  <c r="AW8" i="2" s="1"/>
  <c r="AV8" i="2"/>
  <c r="AU9" i="2"/>
  <c r="AV9" i="2"/>
  <c r="AW9" i="2"/>
  <c r="AU10" i="2"/>
  <c r="AW10" i="2" s="1"/>
  <c r="AV10" i="2"/>
  <c r="AU11" i="2"/>
  <c r="AV11" i="2"/>
  <c r="AW11" i="2" s="1"/>
  <c r="AU12" i="2"/>
  <c r="AV12" i="2"/>
  <c r="AW12" i="2" s="1"/>
  <c r="AU13" i="2"/>
  <c r="AW13" i="2" s="1"/>
  <c r="AV13" i="2"/>
  <c r="AU14" i="2"/>
  <c r="AV14" i="2"/>
  <c r="AW14" i="2"/>
  <c r="AU15" i="2"/>
  <c r="AV15" i="2"/>
  <c r="AU16" i="2"/>
  <c r="AW16" i="2" s="1"/>
  <c r="AV16" i="2"/>
  <c r="AU17" i="2"/>
  <c r="AV17" i="2"/>
  <c r="AT4" i="8"/>
  <c r="AV4" i="8" s="1"/>
  <c r="AU4" i="8"/>
  <c r="AT5" i="8"/>
  <c r="AU5" i="8"/>
  <c r="AV5" i="8" s="1"/>
  <c r="AT6" i="8"/>
  <c r="AU6" i="8"/>
  <c r="AV6" i="8"/>
  <c r="AT7" i="8"/>
  <c r="AU7" i="8"/>
  <c r="AV7" i="8" s="1"/>
  <c r="AT8" i="8"/>
  <c r="AU8" i="8"/>
  <c r="AV8" i="8"/>
  <c r="AT9" i="8"/>
  <c r="AV9" i="8" s="1"/>
  <c r="AU9" i="8"/>
  <c r="AT10" i="8"/>
  <c r="AU10" i="8"/>
  <c r="AV10" i="8"/>
  <c r="AT11" i="8"/>
  <c r="AU11" i="8"/>
  <c r="AT12" i="8"/>
  <c r="AV12" i="8" s="1"/>
  <c r="AU12" i="8"/>
  <c r="AT13" i="8"/>
  <c r="AV13" i="8" s="1"/>
  <c r="AU13" i="8"/>
  <c r="AT14" i="8"/>
  <c r="AV14" i="8" s="1"/>
  <c r="AU14" i="8"/>
  <c r="AT15" i="8"/>
  <c r="AU15" i="8"/>
  <c r="AV15" i="8"/>
  <c r="AT16" i="8"/>
  <c r="AU16" i="8"/>
  <c r="AT17" i="8"/>
  <c r="AU17" i="8"/>
  <c r="AV17" i="8" s="1"/>
  <c r="AP4" i="2"/>
  <c r="AR4" i="2"/>
  <c r="AS4" i="2"/>
  <c r="AQ4" i="2"/>
  <c r="AP5" i="2"/>
  <c r="AR5" i="2"/>
  <c r="AS5" i="2"/>
  <c r="AS18" i="2" s="1"/>
  <c r="AP6" i="2"/>
  <c r="AR6" i="2"/>
  <c r="AS6" i="2"/>
  <c r="AQ6" i="2"/>
  <c r="AT6" i="2" s="1"/>
  <c r="AP7" i="2"/>
  <c r="AP18" i="2" s="1"/>
  <c r="AR7" i="2"/>
  <c r="AS7" i="2"/>
  <c r="AP8" i="2"/>
  <c r="AR8" i="2"/>
  <c r="AS8" i="2"/>
  <c r="AQ8" i="2" s="1"/>
  <c r="AP9" i="2"/>
  <c r="AR9" i="2"/>
  <c r="AS9" i="2"/>
  <c r="AQ9" i="2"/>
  <c r="AT9" i="2"/>
  <c r="AP10" i="2"/>
  <c r="AR10" i="2"/>
  <c r="AS10" i="2"/>
  <c r="AQ10" i="2"/>
  <c r="AP11" i="2"/>
  <c r="AR11" i="2"/>
  <c r="AQ11" i="2" s="1"/>
  <c r="AT11" i="2" s="1"/>
  <c r="AS11" i="2"/>
  <c r="AP12" i="2"/>
  <c r="AR12" i="2"/>
  <c r="AQ12" i="2" s="1"/>
  <c r="AT12" i="2" s="1"/>
  <c r="AS12" i="2"/>
  <c r="AP13" i="2"/>
  <c r="AR13" i="2"/>
  <c r="AQ13" i="2" s="1"/>
  <c r="AS13" i="2"/>
  <c r="AT13" i="2"/>
  <c r="AP14" i="2"/>
  <c r="AR14" i="2"/>
  <c r="AQ14" i="2" s="1"/>
  <c r="AT14" i="2" s="1"/>
  <c r="AS14" i="2"/>
  <c r="AP15" i="2"/>
  <c r="AR15" i="2"/>
  <c r="AQ15" i="2" s="1"/>
  <c r="AS15" i="2"/>
  <c r="AP16" i="2"/>
  <c r="AR16" i="2"/>
  <c r="AS16" i="2"/>
  <c r="AP17" i="2"/>
  <c r="AT17" i="2" s="1"/>
  <c r="AR17" i="2"/>
  <c r="AS17" i="2"/>
  <c r="AQ17" i="2"/>
  <c r="AO4" i="8"/>
  <c r="AQ4" i="8"/>
  <c r="AP4" i="8" s="1"/>
  <c r="AS4" i="8" s="1"/>
  <c r="AR4" i="8"/>
  <c r="AO5" i="8"/>
  <c r="AQ5" i="8"/>
  <c r="AR5" i="8"/>
  <c r="AO6" i="8"/>
  <c r="AQ6" i="8"/>
  <c r="AR6" i="8"/>
  <c r="AP6" i="8" s="1"/>
  <c r="AS6" i="8" s="1"/>
  <c r="AO7" i="8"/>
  <c r="AS7" i="8" s="1"/>
  <c r="AQ7" i="8"/>
  <c r="AP7" i="8" s="1"/>
  <c r="AR7" i="8"/>
  <c r="AO8" i="8"/>
  <c r="AQ8" i="8"/>
  <c r="AP8" i="8" s="1"/>
  <c r="AR8" i="8"/>
  <c r="Q33" i="8"/>
  <c r="AQ9" i="8"/>
  <c r="AR9" i="8"/>
  <c r="AP9" i="8"/>
  <c r="AO10" i="8"/>
  <c r="AQ10" i="8"/>
  <c r="AP10" i="8" s="1"/>
  <c r="AR10" i="8"/>
  <c r="AO11" i="8"/>
  <c r="AQ11" i="8"/>
  <c r="AP11" i="8" s="1"/>
  <c r="AR11" i="8"/>
  <c r="AO12" i="8"/>
  <c r="AQ12" i="8"/>
  <c r="AR12" i="8"/>
  <c r="AP12" i="8" s="1"/>
  <c r="AS12" i="8"/>
  <c r="AO13" i="8"/>
  <c r="AQ13" i="8"/>
  <c r="AP13" i="8" s="1"/>
  <c r="AR13" i="8"/>
  <c r="AO14" i="8"/>
  <c r="AQ14" i="8"/>
  <c r="AR14" i="8"/>
  <c r="AP14" i="8"/>
  <c r="AS14" i="8"/>
  <c r="AO15" i="8"/>
  <c r="AQ15" i="8"/>
  <c r="AP15" i="8" s="1"/>
  <c r="AR15" i="8"/>
  <c r="AS15" i="8"/>
  <c r="AO16" i="8"/>
  <c r="AQ16" i="8"/>
  <c r="AR16" i="8"/>
  <c r="AO17" i="8"/>
  <c r="AQ17" i="8"/>
  <c r="AR17" i="8"/>
  <c r="AP17" i="8"/>
  <c r="AS17" i="8" s="1"/>
  <c r="C29" i="12"/>
  <c r="D21" i="12"/>
  <c r="D22" i="12"/>
  <c r="L7" i="14"/>
  <c r="L6" i="14"/>
  <c r="L5" i="14"/>
  <c r="K6" i="13"/>
  <c r="K7" i="13"/>
  <c r="K8" i="13"/>
  <c r="B141" i="13" s="1"/>
  <c r="K9" i="13"/>
  <c r="K10" i="13"/>
  <c r="K11" i="13"/>
  <c r="B144" i="13" s="1"/>
  <c r="K12" i="13"/>
  <c r="K13" i="13"/>
  <c r="K14" i="13"/>
  <c r="K15" i="13"/>
  <c r="K16" i="13"/>
  <c r="K17" i="13"/>
  <c r="K18" i="13"/>
  <c r="K19" i="13"/>
  <c r="B152" i="13" s="1"/>
  <c r="Q25" i="13"/>
  <c r="Q26" i="13"/>
  <c r="Q27" i="13"/>
  <c r="Q28" i="13"/>
  <c r="Q29" i="13"/>
  <c r="B143" i="13" s="1"/>
  <c r="Q30" i="13"/>
  <c r="Q31" i="13"/>
  <c r="Q32" i="13"/>
  <c r="Q33" i="13"/>
  <c r="Q34" i="13"/>
  <c r="Q35" i="13"/>
  <c r="Q36" i="13"/>
  <c r="Q37" i="13"/>
  <c r="Q38" i="13"/>
  <c r="K63" i="13"/>
  <c r="K64" i="13"/>
  <c r="K65" i="13"/>
  <c r="K66" i="13"/>
  <c r="K67" i="13"/>
  <c r="K68" i="13"/>
  <c r="K69" i="13"/>
  <c r="K70" i="13"/>
  <c r="K71" i="13"/>
  <c r="K72" i="13"/>
  <c r="K73" i="13"/>
  <c r="K74" i="13"/>
  <c r="K75" i="13"/>
  <c r="K76" i="13"/>
  <c r="K82" i="13"/>
  <c r="K83" i="13"/>
  <c r="K84" i="13"/>
  <c r="K85" i="13"/>
  <c r="K86" i="13"/>
  <c r="K87" i="13"/>
  <c r="K88" i="13"/>
  <c r="K89" i="13"/>
  <c r="K90" i="13"/>
  <c r="K91" i="13"/>
  <c r="B148" i="13" s="1"/>
  <c r="K92" i="13"/>
  <c r="K93" i="13"/>
  <c r="K94" i="13"/>
  <c r="K95" i="13"/>
  <c r="H101" i="13"/>
  <c r="H102" i="13"/>
  <c r="H103" i="13"/>
  <c r="H104" i="13"/>
  <c r="H105" i="13"/>
  <c r="H106" i="13"/>
  <c r="H107" i="13"/>
  <c r="H108" i="13"/>
  <c r="H109" i="13"/>
  <c r="H110" i="13"/>
  <c r="H111" i="13"/>
  <c r="H112" i="13"/>
  <c r="H113" i="13"/>
  <c r="H114" i="13"/>
  <c r="H120" i="13"/>
  <c r="H121" i="13"/>
  <c r="H122" i="13"/>
  <c r="H123" i="13"/>
  <c r="H124" i="13"/>
  <c r="H125" i="13"/>
  <c r="H126" i="13"/>
  <c r="H127" i="13"/>
  <c r="H128" i="13"/>
  <c r="H129" i="13"/>
  <c r="H130" i="13"/>
  <c r="H131" i="13"/>
  <c r="H132" i="13"/>
  <c r="H133" i="13"/>
  <c r="K44" i="13"/>
  <c r="K45" i="13"/>
  <c r="K58" i="13" s="1"/>
  <c r="K46" i="13"/>
  <c r="K47" i="13"/>
  <c r="K48" i="13"/>
  <c r="K49" i="13"/>
  <c r="K50" i="13"/>
  <c r="K51" i="13"/>
  <c r="K52" i="13"/>
  <c r="K53" i="13"/>
  <c r="K54" i="13"/>
  <c r="K55" i="13"/>
  <c r="K56" i="13"/>
  <c r="K57" i="13"/>
  <c r="B150" i="13"/>
  <c r="B149" i="13"/>
  <c r="B146" i="13"/>
  <c r="B140" i="13"/>
  <c r="F134" i="13"/>
  <c r="G134" i="13" s="1"/>
  <c r="E134" i="13"/>
  <c r="C134" i="13"/>
  <c r="B134" i="13"/>
  <c r="D134" i="13" s="1"/>
  <c r="G133" i="13"/>
  <c r="D133" i="13"/>
  <c r="G132" i="13"/>
  <c r="D132" i="13"/>
  <c r="G131" i="13"/>
  <c r="D131" i="13"/>
  <c r="G130" i="13"/>
  <c r="D130" i="13"/>
  <c r="G129" i="13"/>
  <c r="D129" i="13"/>
  <c r="G128" i="13"/>
  <c r="D128" i="13"/>
  <c r="G127" i="13"/>
  <c r="D127" i="13"/>
  <c r="G126" i="13"/>
  <c r="D126" i="13"/>
  <c r="G124" i="13"/>
  <c r="D124" i="13"/>
  <c r="G123" i="13"/>
  <c r="D123" i="13"/>
  <c r="G122" i="13"/>
  <c r="D122" i="13"/>
  <c r="G121" i="13"/>
  <c r="D121" i="13"/>
  <c r="G120" i="13"/>
  <c r="D120" i="13"/>
  <c r="F115" i="13"/>
  <c r="G115" i="13" s="1"/>
  <c r="E115" i="13"/>
  <c r="C115" i="13"/>
  <c r="B115" i="13"/>
  <c r="D115" i="13"/>
  <c r="G114" i="13"/>
  <c r="D114" i="13"/>
  <c r="G113" i="13"/>
  <c r="G112" i="13"/>
  <c r="D112" i="13"/>
  <c r="G111" i="13"/>
  <c r="D111" i="13"/>
  <c r="G110" i="13"/>
  <c r="D110" i="13"/>
  <c r="G109" i="13"/>
  <c r="D109" i="13"/>
  <c r="G108" i="13"/>
  <c r="D108" i="13"/>
  <c r="G107" i="13"/>
  <c r="D107" i="13"/>
  <c r="G106" i="13"/>
  <c r="D106" i="13"/>
  <c r="G105" i="13"/>
  <c r="D105" i="13"/>
  <c r="G104" i="13"/>
  <c r="D104" i="13"/>
  <c r="D103" i="13"/>
  <c r="G102" i="13"/>
  <c r="D102" i="13"/>
  <c r="G101" i="13"/>
  <c r="D101" i="13"/>
  <c r="I96" i="13"/>
  <c r="J96" i="13" s="1"/>
  <c r="H96" i="13"/>
  <c r="F96" i="13"/>
  <c r="E96" i="13"/>
  <c r="G96" i="13"/>
  <c r="C96" i="13"/>
  <c r="B96" i="13"/>
  <c r="D96" i="13"/>
  <c r="J95" i="13"/>
  <c r="G95" i="13"/>
  <c r="D95" i="13"/>
  <c r="J94" i="13"/>
  <c r="G94" i="13"/>
  <c r="D94" i="13"/>
  <c r="J93" i="13"/>
  <c r="G93" i="13"/>
  <c r="D93" i="13"/>
  <c r="J92" i="13"/>
  <c r="G92" i="13"/>
  <c r="D92" i="13"/>
  <c r="J91" i="13"/>
  <c r="G91" i="13"/>
  <c r="D91" i="13"/>
  <c r="J90" i="13"/>
  <c r="G90" i="13"/>
  <c r="D90" i="13"/>
  <c r="J89" i="13"/>
  <c r="G89" i="13"/>
  <c r="D89" i="13"/>
  <c r="J88" i="13"/>
  <c r="G88" i="13"/>
  <c r="D88" i="13"/>
  <c r="J87" i="13"/>
  <c r="G87" i="13"/>
  <c r="D87" i="13"/>
  <c r="J86" i="13"/>
  <c r="G86" i="13"/>
  <c r="D86" i="13"/>
  <c r="J85" i="13"/>
  <c r="G85" i="13"/>
  <c r="D85" i="13"/>
  <c r="J84" i="13"/>
  <c r="G84" i="13"/>
  <c r="D84" i="13"/>
  <c r="J83" i="13"/>
  <c r="G83" i="13"/>
  <c r="D83" i="13"/>
  <c r="J82" i="13"/>
  <c r="G82" i="13"/>
  <c r="D82" i="13"/>
  <c r="I77" i="13"/>
  <c r="H77" i="13"/>
  <c r="J77" i="13"/>
  <c r="F77" i="13"/>
  <c r="E77" i="13"/>
  <c r="G77" i="13"/>
  <c r="C77" i="13"/>
  <c r="B77" i="13"/>
  <c r="D77" i="13" s="1"/>
  <c r="J76" i="13"/>
  <c r="G76" i="13"/>
  <c r="D76" i="13"/>
  <c r="J75" i="13"/>
  <c r="G75" i="13"/>
  <c r="D75" i="13"/>
  <c r="J74" i="13"/>
  <c r="G74" i="13"/>
  <c r="D74" i="13"/>
  <c r="J73" i="13"/>
  <c r="G73" i="13"/>
  <c r="D73" i="13"/>
  <c r="J72" i="13"/>
  <c r="G72" i="13"/>
  <c r="D72" i="13"/>
  <c r="J71" i="13"/>
  <c r="G71" i="13"/>
  <c r="D71" i="13"/>
  <c r="J70" i="13"/>
  <c r="G70" i="13"/>
  <c r="D70" i="13"/>
  <c r="J69" i="13"/>
  <c r="G69" i="13"/>
  <c r="D69" i="13"/>
  <c r="J67" i="13"/>
  <c r="G67" i="13"/>
  <c r="D67" i="13"/>
  <c r="J66" i="13"/>
  <c r="G66" i="13"/>
  <c r="D66" i="13"/>
  <c r="J65" i="13"/>
  <c r="G65" i="13"/>
  <c r="D65" i="13"/>
  <c r="J64" i="13"/>
  <c r="G64" i="13"/>
  <c r="D64" i="13"/>
  <c r="J63" i="13"/>
  <c r="G63" i="13"/>
  <c r="D63" i="13"/>
  <c r="I58" i="13"/>
  <c r="H58" i="13"/>
  <c r="J58" i="13"/>
  <c r="F58" i="13"/>
  <c r="E58" i="13"/>
  <c r="G58" i="13"/>
  <c r="C58" i="13"/>
  <c r="B58" i="13"/>
  <c r="D58" i="13" s="1"/>
  <c r="J57" i="13"/>
  <c r="G57" i="13"/>
  <c r="D57" i="13"/>
  <c r="J56" i="13"/>
  <c r="G56" i="13"/>
  <c r="D56" i="13"/>
  <c r="J55" i="13"/>
  <c r="G55" i="13"/>
  <c r="D55" i="13"/>
  <c r="J54" i="13"/>
  <c r="G54" i="13"/>
  <c r="D54" i="13"/>
  <c r="J53" i="13"/>
  <c r="G53" i="13"/>
  <c r="D53" i="13"/>
  <c r="J52" i="13"/>
  <c r="G52" i="13"/>
  <c r="D52" i="13"/>
  <c r="J51" i="13"/>
  <c r="G51" i="13"/>
  <c r="D51" i="13"/>
  <c r="J50" i="13"/>
  <c r="G50" i="13"/>
  <c r="D50" i="13"/>
  <c r="J48" i="13"/>
  <c r="G48" i="13"/>
  <c r="D48" i="13"/>
  <c r="J47" i="13"/>
  <c r="G47" i="13"/>
  <c r="D47" i="13"/>
  <c r="J46" i="13"/>
  <c r="G46" i="13"/>
  <c r="D46" i="13"/>
  <c r="J45" i="13"/>
  <c r="G45" i="13"/>
  <c r="D45" i="13"/>
  <c r="J44" i="13"/>
  <c r="G44" i="13"/>
  <c r="D44" i="13"/>
  <c r="O39" i="13"/>
  <c r="N39" i="13"/>
  <c r="P39" i="13"/>
  <c r="L39" i="13"/>
  <c r="K39" i="13"/>
  <c r="M39" i="13"/>
  <c r="I39" i="13"/>
  <c r="H39" i="13"/>
  <c r="J39" i="13" s="1"/>
  <c r="F39" i="13"/>
  <c r="E39" i="13"/>
  <c r="G39" i="13"/>
  <c r="C39" i="13"/>
  <c r="D39" i="13" s="1"/>
  <c r="B39" i="13"/>
  <c r="P38" i="13"/>
  <c r="M38" i="13"/>
  <c r="J38" i="13"/>
  <c r="G38" i="13"/>
  <c r="D38" i="13"/>
  <c r="P37" i="13"/>
  <c r="M37" i="13"/>
  <c r="J37" i="13"/>
  <c r="G37" i="13"/>
  <c r="D37" i="13"/>
  <c r="P36" i="13"/>
  <c r="M36" i="13"/>
  <c r="J36" i="13"/>
  <c r="G36" i="13"/>
  <c r="D36" i="13"/>
  <c r="P35" i="13"/>
  <c r="M35" i="13"/>
  <c r="J35" i="13"/>
  <c r="G35" i="13"/>
  <c r="D35" i="13"/>
  <c r="P34" i="13"/>
  <c r="M34" i="13"/>
  <c r="J34" i="13"/>
  <c r="G34" i="13"/>
  <c r="D34" i="13"/>
  <c r="P33" i="13"/>
  <c r="M33" i="13"/>
  <c r="J33" i="13"/>
  <c r="G33" i="13"/>
  <c r="D33" i="13"/>
  <c r="P32" i="13"/>
  <c r="M32" i="13"/>
  <c r="J32" i="13"/>
  <c r="G32" i="13"/>
  <c r="D32" i="13"/>
  <c r="P31" i="13"/>
  <c r="M31" i="13"/>
  <c r="J31" i="13"/>
  <c r="G31" i="13"/>
  <c r="D31" i="13"/>
  <c r="P30" i="13"/>
  <c r="M30" i="13"/>
  <c r="J30" i="13"/>
  <c r="G30" i="13"/>
  <c r="D30" i="13"/>
  <c r="P29" i="13"/>
  <c r="M29" i="13"/>
  <c r="J29" i="13"/>
  <c r="G29" i="13"/>
  <c r="D29" i="13"/>
  <c r="P28" i="13"/>
  <c r="M28" i="13"/>
  <c r="J28" i="13"/>
  <c r="G28" i="13"/>
  <c r="D28" i="13"/>
  <c r="P27" i="13"/>
  <c r="M27" i="13"/>
  <c r="J27" i="13"/>
  <c r="G27" i="13"/>
  <c r="D27" i="13"/>
  <c r="P26" i="13"/>
  <c r="M26" i="13"/>
  <c r="J26" i="13"/>
  <c r="G26" i="13"/>
  <c r="D26" i="13"/>
  <c r="P25" i="13"/>
  <c r="M25" i="13"/>
  <c r="J25" i="13"/>
  <c r="G25" i="13"/>
  <c r="D25" i="13"/>
  <c r="I20" i="13"/>
  <c r="H20" i="13"/>
  <c r="J20" i="13"/>
  <c r="F20" i="13"/>
  <c r="E20" i="13"/>
  <c r="G20" i="13"/>
  <c r="C20" i="13"/>
  <c r="D20" i="13" s="1"/>
  <c r="B20" i="13"/>
  <c r="AC19" i="13"/>
  <c r="J19" i="13"/>
  <c r="G19" i="13"/>
  <c r="D19" i="13"/>
  <c r="AC18" i="13"/>
  <c r="J18" i="13"/>
  <c r="G18" i="13"/>
  <c r="D18" i="13"/>
  <c r="AC17" i="13"/>
  <c r="J17" i="13"/>
  <c r="G17" i="13"/>
  <c r="D17" i="13"/>
  <c r="AC16" i="13"/>
  <c r="J16" i="13"/>
  <c r="G16" i="13"/>
  <c r="D16" i="13"/>
  <c r="AC15" i="13"/>
  <c r="J15" i="13"/>
  <c r="G15" i="13"/>
  <c r="D15" i="13"/>
  <c r="AC14" i="13"/>
  <c r="J14" i="13"/>
  <c r="G14" i="13"/>
  <c r="D14" i="13"/>
  <c r="AC13" i="13"/>
  <c r="J13" i="13"/>
  <c r="G13" i="13"/>
  <c r="D13" i="13"/>
  <c r="AC12" i="13"/>
  <c r="J12" i="13"/>
  <c r="G12" i="13"/>
  <c r="D12" i="13"/>
  <c r="AC11" i="13"/>
  <c r="J11" i="13"/>
  <c r="AC10" i="13"/>
  <c r="J10" i="13"/>
  <c r="G10" i="13"/>
  <c r="D10" i="13"/>
  <c r="AC9" i="13"/>
  <c r="J9" i="13"/>
  <c r="G9" i="13"/>
  <c r="D9" i="13"/>
  <c r="AC8" i="13"/>
  <c r="J8" i="13"/>
  <c r="G8" i="13"/>
  <c r="D8" i="13"/>
  <c r="AC7" i="13"/>
  <c r="J7" i="13"/>
  <c r="G7" i="13"/>
  <c r="D7" i="13"/>
  <c r="AC6" i="13"/>
  <c r="J6" i="13"/>
  <c r="G6" i="13"/>
  <c r="D6" i="13"/>
  <c r="S17" i="11"/>
  <c r="P17" i="11"/>
  <c r="V3" i="11"/>
  <c r="V4" i="11"/>
  <c r="V5" i="11"/>
  <c r="V6" i="11"/>
  <c r="V7" i="11"/>
  <c r="V8" i="11"/>
  <c r="V9" i="11"/>
  <c r="V10" i="11"/>
  <c r="V11" i="11"/>
  <c r="W11" i="11" s="1"/>
  <c r="V12" i="11"/>
  <c r="V13" i="11"/>
  <c r="V14" i="11"/>
  <c r="V15" i="11"/>
  <c r="V16" i="11"/>
  <c r="V17" i="11"/>
  <c r="V18" i="11"/>
  <c r="T28" i="10"/>
  <c r="S28" i="10"/>
  <c r="Q28" i="10"/>
  <c r="U28" i="10"/>
  <c r="R28" i="10"/>
  <c r="P28" i="10"/>
  <c r="W28" i="10"/>
  <c r="V28" i="10"/>
  <c r="AD4" i="10"/>
  <c r="AD5" i="10"/>
  <c r="AD6" i="10"/>
  <c r="AD7" i="10"/>
  <c r="AD8" i="10"/>
  <c r="AD9" i="10"/>
  <c r="AD10" i="10"/>
  <c r="AD11" i="10"/>
  <c r="AD12" i="10"/>
  <c r="AD13" i="10"/>
  <c r="AD15" i="10"/>
  <c r="AD16" i="10"/>
  <c r="AD17" i="10"/>
  <c r="AB4" i="10"/>
  <c r="AB5" i="10"/>
  <c r="AB6" i="10"/>
  <c r="AB7" i="10"/>
  <c r="AB8" i="10"/>
  <c r="AB9" i="10"/>
  <c r="AB10" i="10"/>
  <c r="AB11" i="10"/>
  <c r="AB12" i="10"/>
  <c r="AB13" i="10"/>
  <c r="AB14" i="10"/>
  <c r="AB15" i="10"/>
  <c r="AB16" i="10"/>
  <c r="AB17" i="10"/>
  <c r="AO4" i="9"/>
  <c r="AO5" i="9"/>
  <c r="AO6" i="9"/>
  <c r="AO7" i="9"/>
  <c r="AO8" i="9"/>
  <c r="AO9" i="9"/>
  <c r="AO10" i="9"/>
  <c r="AO11" i="9"/>
  <c r="AO12" i="9"/>
  <c r="AO13" i="9"/>
  <c r="AO14" i="9"/>
  <c r="AO15" i="9"/>
  <c r="AO16" i="9"/>
  <c r="AO17" i="9"/>
  <c r="AM4" i="9"/>
  <c r="AM5" i="9"/>
  <c r="AM6" i="9"/>
  <c r="AM18" i="9" s="1"/>
  <c r="AM7" i="9"/>
  <c r="AM8" i="9"/>
  <c r="AM9" i="9"/>
  <c r="AM10" i="9"/>
  <c r="AM11" i="9"/>
  <c r="AM12" i="9"/>
  <c r="AM13" i="9"/>
  <c r="AM14" i="9"/>
  <c r="AM15" i="9"/>
  <c r="AM16" i="9"/>
  <c r="AM17" i="9"/>
  <c r="AK4" i="9"/>
  <c r="AK5" i="9"/>
  <c r="AK6" i="9"/>
  <c r="AK7" i="9"/>
  <c r="AK8" i="9"/>
  <c r="AK9" i="9"/>
  <c r="AK10" i="9"/>
  <c r="AK11" i="9"/>
  <c r="AK12" i="9"/>
  <c r="AK13" i="9"/>
  <c r="AK14" i="9"/>
  <c r="AK15" i="9"/>
  <c r="AK16" i="9"/>
  <c r="AK17" i="9"/>
  <c r="AI4" i="9"/>
  <c r="AI5" i="9"/>
  <c r="AI6" i="9"/>
  <c r="AI7" i="9"/>
  <c r="AI8" i="9"/>
  <c r="AI9" i="9"/>
  <c r="AI10" i="9"/>
  <c r="AI11" i="9"/>
  <c r="AI12" i="9"/>
  <c r="AI13" i="9"/>
  <c r="AI14" i="9"/>
  <c r="AI15" i="9"/>
  <c r="AI16" i="9"/>
  <c r="AI17" i="9"/>
  <c r="AG4" i="9"/>
  <c r="AG5" i="9"/>
  <c r="AG6" i="9"/>
  <c r="AG7" i="9"/>
  <c r="AG8" i="9"/>
  <c r="AG9" i="9"/>
  <c r="AG10" i="9"/>
  <c r="AG11" i="9"/>
  <c r="AG12" i="9"/>
  <c r="AG13" i="9"/>
  <c r="AG14" i="9"/>
  <c r="AG15" i="9"/>
  <c r="AG16" i="9"/>
  <c r="AG17" i="9"/>
  <c r="AI17" i="10"/>
  <c r="AI4" i="10"/>
  <c r="AI5" i="10"/>
  <c r="AI6" i="10"/>
  <c r="AI7" i="10"/>
  <c r="AI8" i="10"/>
  <c r="AI9" i="10"/>
  <c r="AI18" i="10" s="1"/>
  <c r="AI10" i="10"/>
  <c r="AI11" i="10"/>
  <c r="AI12" i="10"/>
  <c r="AI13" i="10"/>
  <c r="AI14" i="10"/>
  <c r="AI15" i="10"/>
  <c r="AI16" i="10"/>
  <c r="AP17" i="10"/>
  <c r="AP4" i="10"/>
  <c r="AP5" i="10"/>
  <c r="AP6" i="10"/>
  <c r="AP7" i="10"/>
  <c r="AP8" i="10"/>
  <c r="AP9" i="10"/>
  <c r="AP10" i="10"/>
  <c r="AP11" i="10"/>
  <c r="AP12" i="10"/>
  <c r="AP13" i="10"/>
  <c r="AP14" i="10"/>
  <c r="AP15" i="10"/>
  <c r="AP16" i="10"/>
  <c r="AO4" i="10"/>
  <c r="AO5" i="10"/>
  <c r="AO6" i="10"/>
  <c r="AO7" i="10"/>
  <c r="AO8" i="10"/>
  <c r="AO9" i="10"/>
  <c r="AO10" i="10"/>
  <c r="AO11" i="10"/>
  <c r="AO12" i="10"/>
  <c r="AO13" i="10"/>
  <c r="AO14" i="10"/>
  <c r="AO15" i="10"/>
  <c r="AO16" i="10"/>
  <c r="AO17" i="10"/>
  <c r="AH4" i="10"/>
  <c r="AH5" i="10"/>
  <c r="AH6" i="10"/>
  <c r="AH18" i="10" s="1"/>
  <c r="AH7" i="10"/>
  <c r="AH8" i="10"/>
  <c r="AH9" i="10"/>
  <c r="AH10" i="10"/>
  <c r="AH11" i="10"/>
  <c r="AH12" i="10"/>
  <c r="AH13" i="10"/>
  <c r="AH14" i="10"/>
  <c r="AH15" i="10"/>
  <c r="AH16" i="10"/>
  <c r="AH17" i="10"/>
  <c r="AC40" i="9"/>
  <c r="W40" i="9"/>
  <c r="V40" i="9"/>
  <c r="Y40" i="9"/>
  <c r="X40" i="9"/>
  <c r="AX19" i="9"/>
  <c r="S40" i="9"/>
  <c r="R40" i="9"/>
  <c r="AA40" i="9"/>
  <c r="Z40" i="9"/>
  <c r="T40" i="9"/>
  <c r="CJ4" i="8"/>
  <c r="CK4" i="8" s="1"/>
  <c r="CJ5" i="8"/>
  <c r="CJ6" i="8"/>
  <c r="CJ7" i="8" s="1"/>
  <c r="AB39" i="8"/>
  <c r="CH4" i="8"/>
  <c r="CH5" i="8"/>
  <c r="CH6" i="8"/>
  <c r="CH7" i="8" s="1"/>
  <c r="Z39" i="8"/>
  <c r="CF4" i="8"/>
  <c r="CF5" i="8"/>
  <c r="CF6" i="8"/>
  <c r="CG4" i="8" s="1"/>
  <c r="CF7" i="8"/>
  <c r="CD4" i="8"/>
  <c r="CD5" i="8"/>
  <c r="CD6" i="8"/>
  <c r="CD7" i="8"/>
  <c r="CB4" i="8"/>
  <c r="CB5" i="8"/>
  <c r="U39" i="8"/>
  <c r="BZ4" i="8"/>
  <c r="BZ6" i="8" s="1"/>
  <c r="BZ7" i="8" s="1"/>
  <c r="BZ5" i="8"/>
  <c r="P39" i="8"/>
  <c r="BV4" i="8"/>
  <c r="BV6" i="8" s="1"/>
  <c r="BV5" i="8"/>
  <c r="W39" i="8"/>
  <c r="BV7" i="8"/>
  <c r="BT4" i="8"/>
  <c r="BX4" i="8" s="1"/>
  <c r="BT5" i="8"/>
  <c r="BT6" i="8"/>
  <c r="V39" i="8"/>
  <c r="BT7" i="8"/>
  <c r="BR4" i="8"/>
  <c r="Q39" i="8"/>
  <c r="BP4" i="8"/>
  <c r="BP5" i="8"/>
  <c r="BQ4" i="8"/>
  <c r="BQ6" i="8" s="1"/>
  <c r="BQ5" i="8"/>
  <c r="BO4" i="8"/>
  <c r="BO5" i="8"/>
  <c r="BO6" i="8"/>
  <c r="B5" i="8"/>
  <c r="B6" i="8"/>
  <c r="B7" i="8" s="1"/>
  <c r="B8" i="8" s="1"/>
  <c r="B9" i="8"/>
  <c r="B10" i="8"/>
  <c r="B11" i="8" s="1"/>
  <c r="B12" i="8" s="1"/>
  <c r="B13" i="8" s="1"/>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O7" i="8" s="1"/>
  <c r="AM17" i="8"/>
  <c r="AM16" i="8"/>
  <c r="AM15" i="8"/>
  <c r="AM14" i="8"/>
  <c r="AM13" i="8"/>
  <c r="AM12" i="8"/>
  <c r="AM11" i="8"/>
  <c r="AM10" i="8"/>
  <c r="AM9" i="8"/>
  <c r="AM8" i="8"/>
  <c r="AM7" i="8"/>
  <c r="AM6" i="8"/>
  <c r="AM5" i="8"/>
  <c r="AK17" i="8"/>
  <c r="AK16" i="8"/>
  <c r="AK15" i="8"/>
  <c r="AK14" i="8"/>
  <c r="AK13" i="8"/>
  <c r="AK12" i="8"/>
  <c r="AK11" i="8"/>
  <c r="AK10" i="8"/>
  <c r="AK9" i="8"/>
  <c r="AK8" i="8"/>
  <c r="AK7" i="8"/>
  <c r="AK6" i="8"/>
  <c r="AK5" i="8"/>
  <c r="AM4" i="8"/>
  <c r="AK4" i="8"/>
  <c r="BK4" i="8"/>
  <c r="BK6" i="8" s="1"/>
  <c r="BK5" i="8"/>
  <c r="BL5" i="8" s="1"/>
  <c r="BI4" i="8"/>
  <c r="BI6" i="8" s="1"/>
  <c r="BI5" i="8"/>
  <c r="BM5" i="8"/>
  <c r="BM4" i="8"/>
  <c r="BM6" i="8"/>
  <c r="BN4" i="8" s="1"/>
  <c r="BN5" i="8"/>
  <c r="T39" i="8"/>
  <c r="S39" i="8"/>
  <c r="AE4" i="8"/>
  <c r="AE5" i="8"/>
  <c r="AE6" i="8"/>
  <c r="AE7" i="8"/>
  <c r="AE8" i="8"/>
  <c r="AE9" i="8"/>
  <c r="AE10" i="8"/>
  <c r="AE11" i="8"/>
  <c r="AE12" i="8"/>
  <c r="AE13" i="8"/>
  <c r="AE14" i="8"/>
  <c r="AE15" i="8"/>
  <c r="AE16" i="8"/>
  <c r="AE17" i="8"/>
  <c r="AG4" i="8"/>
  <c r="AG5" i="8"/>
  <c r="AG6" i="8"/>
  <c r="AG7" i="8"/>
  <c r="AG8" i="8"/>
  <c r="AG9" i="8"/>
  <c r="AG10" i="8"/>
  <c r="AG11" i="8"/>
  <c r="AG12" i="8"/>
  <c r="AG13" i="8"/>
  <c r="AG14" i="8"/>
  <c r="AG15" i="8"/>
  <c r="AG16" i="8"/>
  <c r="AG17" i="8"/>
  <c r="AI4" i="8"/>
  <c r="AI5" i="8"/>
  <c r="AI6" i="8"/>
  <c r="AI7" i="8"/>
  <c r="AI8" i="8"/>
  <c r="AI9" i="8"/>
  <c r="AI10" i="8"/>
  <c r="AI11" i="8"/>
  <c r="AI12" i="8"/>
  <c r="AI13" i="8"/>
  <c r="AI14" i="8"/>
  <c r="AI15" i="8"/>
  <c r="AI16" i="8"/>
  <c r="AI17" i="8"/>
  <c r="AY17" i="8"/>
  <c r="AX17" i="8"/>
  <c r="AY16" i="8"/>
  <c r="AX16" i="8"/>
  <c r="AX15" i="8"/>
  <c r="AY14" i="8"/>
  <c r="AX14" i="8"/>
  <c r="AY13" i="8"/>
  <c r="AX13" i="8"/>
  <c r="AY12" i="8"/>
  <c r="AX12" i="8"/>
  <c r="AY11" i="8"/>
  <c r="AY10" i="8"/>
  <c r="AX10" i="8"/>
  <c r="AX9" i="8"/>
  <c r="AY8" i="8"/>
  <c r="AX8" i="8"/>
  <c r="AY7" i="8"/>
  <c r="AX7" i="8"/>
  <c r="AY6" i="8"/>
  <c r="AX6" i="8"/>
  <c r="AY5" i="8"/>
  <c r="AX5" i="8"/>
  <c r="AX4" i="8"/>
  <c r="CK5" i="8"/>
  <c r="CG5" i="8"/>
  <c r="BW5" i="8"/>
  <c r="CE4" i="8"/>
  <c r="BW4" i="8"/>
  <c r="BU4" i="8"/>
  <c r="CN4" i="2"/>
  <c r="CN6" i="2" s="1"/>
  <c r="CN7" i="2" s="1"/>
  <c r="CN5" i="2"/>
  <c r="AB37" i="2"/>
  <c r="CL4" i="2"/>
  <c r="CL6" i="2" s="1"/>
  <c r="CL7" i="2" s="1"/>
  <c r="CL5" i="2"/>
  <c r="AA37" i="2"/>
  <c r="CJ4" i="2"/>
  <c r="CJ5" i="2"/>
  <c r="CJ6" i="2"/>
  <c r="Z37" i="2"/>
  <c r="CJ7" i="2"/>
  <c r="CH4" i="2"/>
  <c r="CH5" i="2"/>
  <c r="CH6" i="2"/>
  <c r="Y37" i="2"/>
  <c r="AG5" i="12" s="1"/>
  <c r="AG7" i="12" s="1"/>
  <c r="CH7" i="2"/>
  <c r="CF4" i="2"/>
  <c r="CF6" i="2" s="1"/>
  <c r="CF7" i="2" s="1"/>
  <c r="CF5" i="2"/>
  <c r="X37" i="2"/>
  <c r="AF5" i="12" s="1"/>
  <c r="AF7" i="12" s="1"/>
  <c r="CD4" i="2"/>
  <c r="CD5" i="2"/>
  <c r="CD6" i="2"/>
  <c r="U37" i="2"/>
  <c r="CD7" i="2"/>
  <c r="CB4" i="2"/>
  <c r="CC4" i="2" s="1"/>
  <c r="CB5" i="2"/>
  <c r="CB6" i="2"/>
  <c r="CC5" i="2" s="1"/>
  <c r="P37" i="2"/>
  <c r="CB7" i="2"/>
  <c r="BT4" i="2"/>
  <c r="BV4" i="2"/>
  <c r="BZ4" i="2" s="1"/>
  <c r="BX4" i="2"/>
  <c r="BT5" i="2"/>
  <c r="BV5" i="2"/>
  <c r="BX5" i="2"/>
  <c r="W37" i="2"/>
  <c r="V37" i="2"/>
  <c r="Q37" i="2"/>
  <c r="BQ4" i="2"/>
  <c r="BQ6" i="2" s="1"/>
  <c r="BQ7" i="2" s="1"/>
  <c r="BQ5" i="2"/>
  <c r="B5" i="2"/>
  <c r="B6" i="2"/>
  <c r="B7" i="2"/>
  <c r="B8" i="2"/>
  <c r="B9" i="2"/>
  <c r="B10" i="2"/>
  <c r="B11" i="2" s="1"/>
  <c r="B12" i="2"/>
  <c r="B13" i="2"/>
  <c r="B14" i="2"/>
  <c r="B15" i="2"/>
  <c r="B16" i="2" s="1"/>
  <c r="B17" i="2" s="1"/>
  <c r="B18" i="2" s="1"/>
  <c r="B19" i="2" s="1"/>
  <c r="B20" i="2" s="1"/>
  <c r="B21" i="2" s="1"/>
  <c r="B22" i="2" s="1"/>
  <c r="B23" i="2" s="1"/>
  <c r="B24" i="2" s="1"/>
  <c r="B25" i="2" s="1"/>
  <c r="B26" i="2" s="1"/>
  <c r="B27" i="2" s="1"/>
  <c r="B28" i="2" s="1"/>
  <c r="B29" i="2" s="1"/>
  <c r="B30" i="2" s="1"/>
  <c r="B31" i="2" s="1"/>
  <c r="B32" i="2" s="1"/>
  <c r="B33" i="2" s="1"/>
  <c r="B34" i="2" s="1"/>
  <c r="B35" i="2" s="1"/>
  <c r="B36" i="2" s="1"/>
  <c r="BO4" i="2"/>
  <c r="BO6" i="2" s="1"/>
  <c r="BO5" i="2"/>
  <c r="AN4" i="2"/>
  <c r="AO4" i="2" s="1"/>
  <c r="AN5" i="2"/>
  <c r="AO5" i="2" s="1"/>
  <c r="AN6" i="2"/>
  <c r="AN7" i="2"/>
  <c r="AN9" i="2"/>
  <c r="AN10" i="2"/>
  <c r="AN11" i="2"/>
  <c r="AO11" i="2" s="1"/>
  <c r="AN12" i="2"/>
  <c r="AN13" i="2"/>
  <c r="AO13" i="2" s="1"/>
  <c r="AN14" i="2"/>
  <c r="AN15" i="2"/>
  <c r="AN16" i="2"/>
  <c r="AN17" i="2"/>
  <c r="AO17" i="2" s="1"/>
  <c r="BM4" i="2"/>
  <c r="BM5" i="2"/>
  <c r="BN5" i="2" s="1"/>
  <c r="BM6" i="2"/>
  <c r="BN4" i="2" s="1"/>
  <c r="AL4" i="2"/>
  <c r="AL5" i="2"/>
  <c r="AL6" i="2"/>
  <c r="AL7" i="2"/>
  <c r="AL8" i="2"/>
  <c r="AL9" i="2"/>
  <c r="AL10" i="2"/>
  <c r="AL11" i="2"/>
  <c r="AL12" i="2"/>
  <c r="AL13" i="2"/>
  <c r="AM13" i="2" s="1"/>
  <c r="AL14" i="2"/>
  <c r="AL15" i="2"/>
  <c r="AL16" i="2"/>
  <c r="AL17" i="2"/>
  <c r="AL18" i="2"/>
  <c r="BM7" i="2"/>
  <c r="BK4" i="2"/>
  <c r="BK5" i="2"/>
  <c r="BK6" i="2"/>
  <c r="BL4" i="2" s="1"/>
  <c r="BK7" i="2"/>
  <c r="CM5" i="2"/>
  <c r="CM4" i="2"/>
  <c r="CK5" i="2"/>
  <c r="CK4" i="2"/>
  <c r="CE5" i="2"/>
  <c r="CI4" i="2"/>
  <c r="CE4" i="2"/>
  <c r="BS4" i="2"/>
  <c r="BS5" i="2"/>
  <c r="BS6" i="2"/>
  <c r="BR4" i="2"/>
  <c r="BR5" i="2"/>
  <c r="BR6" i="2"/>
  <c r="BL5" i="2"/>
  <c r="BD19" i="2"/>
  <c r="T37" i="2"/>
  <c r="S37" i="2"/>
  <c r="AZ12" i="2"/>
  <c r="AZ9" i="2"/>
  <c r="AY9" i="2"/>
  <c r="AZ17" i="2"/>
  <c r="AY17" i="2"/>
  <c r="AZ16" i="2"/>
  <c r="AY16" i="2"/>
  <c r="AZ14" i="2"/>
  <c r="AY14" i="2"/>
  <c r="AZ13" i="2"/>
  <c r="AY13" i="2"/>
  <c r="AZ10" i="2"/>
  <c r="AY10" i="2"/>
  <c r="AZ11" i="2"/>
  <c r="AY11" i="2"/>
  <c r="AZ5" i="2"/>
  <c r="AY5" i="2"/>
  <c r="AZ4" i="2"/>
  <c r="AY4" i="2"/>
  <c r="AJ4" i="2"/>
  <c r="AJ18" i="2" s="1"/>
  <c r="AJ5" i="2"/>
  <c r="AJ6" i="2"/>
  <c r="AJ7" i="2"/>
  <c r="AJ8" i="2"/>
  <c r="AJ9" i="2"/>
  <c r="AK9" i="2" s="1"/>
  <c r="AJ10" i="2"/>
  <c r="AK10" i="2" s="1"/>
  <c r="AJ11" i="2"/>
  <c r="AJ12" i="2"/>
  <c r="AK12" i="2" s="1"/>
  <c r="AJ13" i="2"/>
  <c r="AJ14" i="2"/>
  <c r="AJ15" i="2"/>
  <c r="AJ16" i="2"/>
  <c r="AK16" i="2" s="1"/>
  <c r="AJ17" i="2"/>
  <c r="AK17" i="2" s="1"/>
  <c r="AH4" i="2"/>
  <c r="AH18" i="2" s="1"/>
  <c r="AH5" i="2"/>
  <c r="AI5" i="2" s="1"/>
  <c r="AH6" i="2"/>
  <c r="AH7" i="2"/>
  <c r="AH8" i="2"/>
  <c r="AH9" i="2"/>
  <c r="AH10" i="2"/>
  <c r="AI10" i="2" s="1"/>
  <c r="AH11" i="2"/>
  <c r="AI11" i="2" s="1"/>
  <c r="AH12" i="2"/>
  <c r="AH13" i="2"/>
  <c r="AI13" i="2" s="1"/>
  <c r="AH14" i="2"/>
  <c r="AH15" i="2"/>
  <c r="AH16" i="2"/>
  <c r="AH17" i="2"/>
  <c r="AF12" i="2"/>
  <c r="AO12" i="2"/>
  <c r="AM12" i="2"/>
  <c r="AI12" i="2"/>
  <c r="AF6" i="2"/>
  <c r="AM6" i="2"/>
  <c r="AI6" i="2"/>
  <c r="AF9" i="2"/>
  <c r="AO9" i="2"/>
  <c r="AF17" i="2"/>
  <c r="AM17" i="2"/>
  <c r="AI17" i="2"/>
  <c r="AF16" i="2"/>
  <c r="AO16" i="2"/>
  <c r="AM16" i="2"/>
  <c r="AI16" i="2"/>
  <c r="AF14" i="2"/>
  <c r="AK14" i="2" s="1"/>
  <c r="AO14" i="2"/>
  <c r="AM14" i="2"/>
  <c r="AI14" i="2"/>
  <c r="AF13" i="2"/>
  <c r="AK13" i="2"/>
  <c r="AF10" i="2"/>
  <c r="AO10" i="2"/>
  <c r="AM10" i="2"/>
  <c r="AF11" i="2"/>
  <c r="AM11" i="2"/>
  <c r="AF7" i="2"/>
  <c r="AI7" i="2" s="1"/>
  <c r="AO7" i="2"/>
  <c r="AF5" i="2"/>
  <c r="AM5" i="2" s="1"/>
  <c r="AF4" i="2"/>
  <c r="AM4" i="2"/>
  <c r="AI4" i="2"/>
  <c r="AF8" i="2"/>
  <c r="AF15" i="2"/>
  <c r="B5" i="10"/>
  <c r="B6" i="10"/>
  <c r="B7" i="10"/>
  <c r="B8" i="10"/>
  <c r="B9" i="10" s="1"/>
  <c r="B10" i="10" s="1"/>
  <c r="B11" i="10" s="1"/>
  <c r="B12" i="10" s="1"/>
  <c r="B13" i="10" s="1"/>
  <c r="B14" i="10" s="1"/>
  <c r="B15" i="10" s="1"/>
  <c r="B16" i="10" s="1"/>
  <c r="B17" i="10" s="1"/>
  <c r="B18" i="10" s="1"/>
  <c r="B19" i="10" s="1"/>
  <c r="B20" i="10" s="1"/>
  <c r="B21" i="10" s="1"/>
  <c r="B22" i="10" s="1"/>
  <c r="B23" i="10" s="1"/>
  <c r="B24" i="10" s="1"/>
  <c r="B25" i="10" s="1"/>
  <c r="B26" i="10" s="1"/>
  <c r="B27" i="10" s="1"/>
  <c r="B4" i="11"/>
  <c r="B5" i="11"/>
  <c r="B6" i="11" s="1"/>
  <c r="B7" i="11" s="1"/>
  <c r="B8" i="11" s="1"/>
  <c r="B9" i="11" s="1"/>
  <c r="B10" i="11" s="1"/>
  <c r="B11" i="11" s="1"/>
  <c r="B12" i="11" s="1"/>
  <c r="B13" i="11" s="1"/>
  <c r="B14" i="11" s="1"/>
  <c r="B15" i="11" s="1"/>
  <c r="B16" i="11" s="1"/>
  <c r="BZ6" i="2" l="1"/>
  <c r="BK7" i="8"/>
  <c r="AH6" i="12"/>
  <c r="AZ19" i="8"/>
  <c r="AU15" i="10"/>
  <c r="AF8" i="8"/>
  <c r="AN7" i="8"/>
  <c r="AL7" i="9"/>
  <c r="Y11" i="11"/>
  <c r="BI7" i="8"/>
  <c r="BJ5" i="8"/>
  <c r="BJ4" i="8"/>
  <c r="AJ9" i="12"/>
  <c r="BD19" i="9"/>
  <c r="AH8" i="8"/>
  <c r="CA5" i="8"/>
  <c r="AJ14" i="10"/>
  <c r="AJ7" i="10"/>
  <c r="AJ17" i="10"/>
  <c r="AJ4" i="10"/>
  <c r="AJ6" i="10"/>
  <c r="AJ8" i="10"/>
  <c r="AN7" i="9"/>
  <c r="AN8" i="9"/>
  <c r="AN15" i="9"/>
  <c r="AN11" i="9"/>
  <c r="AN6" i="9"/>
  <c r="AN4" i="9"/>
  <c r="AN13" i="9"/>
  <c r="AN14" i="9"/>
  <c r="AN5" i="9"/>
  <c r="AN9" i="9"/>
  <c r="AN17" i="9"/>
  <c r="AN16" i="9"/>
  <c r="AH5" i="9"/>
  <c r="AV19" i="2"/>
  <c r="AC5" i="12"/>
  <c r="W5" i="12"/>
  <c r="AP19" i="2"/>
  <c r="AF12" i="8"/>
  <c r="AJ11" i="8"/>
  <c r="AN12" i="9"/>
  <c r="AI5" i="12"/>
  <c r="AI7" i="12" s="1"/>
  <c r="BB19" i="2"/>
  <c r="CG5" i="2"/>
  <c r="CO5" i="2"/>
  <c r="AF13" i="8"/>
  <c r="AH11" i="9"/>
  <c r="AG6" i="2"/>
  <c r="AO6" i="2"/>
  <c r="AK7" i="2"/>
  <c r="D16" i="12"/>
  <c r="D17" i="12"/>
  <c r="D18" i="12"/>
  <c r="D19" i="12"/>
  <c r="D20" i="12"/>
  <c r="D24" i="12"/>
  <c r="D26" i="12"/>
  <c r="D15" i="12"/>
  <c r="D28" i="12"/>
  <c r="AR18" i="2"/>
  <c r="AR17" i="9"/>
  <c r="AM18" i="10"/>
  <c r="AN13" i="10" s="1"/>
  <c r="AU14" i="10"/>
  <c r="AA9" i="11"/>
  <c r="AC17" i="11"/>
  <c r="BP4" i="2"/>
  <c r="AN18" i="2"/>
  <c r="BT6" i="2"/>
  <c r="BT7" i="2" s="1"/>
  <c r="CI5" i="2"/>
  <c r="AL4" i="8"/>
  <c r="H134" i="13"/>
  <c r="B147" i="13"/>
  <c r="B145" i="13"/>
  <c r="AT10" i="2"/>
  <c r="AR8" i="9"/>
  <c r="AU8" i="9" s="1"/>
  <c r="AS18" i="9"/>
  <c r="AW18" i="9"/>
  <c r="AK9" i="12"/>
  <c r="W8" i="11"/>
  <c r="W7" i="11"/>
  <c r="W6" i="11"/>
  <c r="W14" i="11"/>
  <c r="W13" i="11"/>
  <c r="W12" i="11"/>
  <c r="AI18" i="9"/>
  <c r="AJ12" i="9" s="1"/>
  <c r="AE10" i="10"/>
  <c r="AR18" i="8"/>
  <c r="D9" i="12"/>
  <c r="M7" i="12"/>
  <c r="H9" i="12"/>
  <c r="AC17" i="10"/>
  <c r="AN5" i="10"/>
  <c r="F7" i="12"/>
  <c r="H7" i="12"/>
  <c r="BO7" i="2"/>
  <c r="BL4" i="8"/>
  <c r="AK18" i="8"/>
  <c r="AL16" i="8" s="1"/>
  <c r="AO18" i="10"/>
  <c r="AD18" i="10"/>
  <c r="W15" i="11"/>
  <c r="AU7" i="9"/>
  <c r="AQ18" i="9"/>
  <c r="R5" i="12"/>
  <c r="O13" i="12" s="1"/>
  <c r="M6" i="12"/>
  <c r="D7" i="12"/>
  <c r="AN4" i="8"/>
  <c r="CE5" i="8"/>
  <c r="AF18" i="10"/>
  <c r="X17" i="11"/>
  <c r="Y12" i="11" s="1"/>
  <c r="AM9" i="2"/>
  <c r="AJ10" i="10"/>
  <c r="Q39" i="13"/>
  <c r="AY7" i="2"/>
  <c r="AZ7" i="2"/>
  <c r="AJ16" i="10"/>
  <c r="AJ5" i="9"/>
  <c r="AS19" i="2"/>
  <c r="Z5" i="12"/>
  <c r="CA4" i="8"/>
  <c r="AK4" i="2"/>
  <c r="W5" i="11"/>
  <c r="AL7" i="8"/>
  <c r="BX6" i="2"/>
  <c r="AJ7" i="8"/>
  <c r="BU5" i="8"/>
  <c r="AJ6" i="8"/>
  <c r="Z17" i="11"/>
  <c r="AA13" i="11" s="1"/>
  <c r="AA3" i="11"/>
  <c r="D5" i="12"/>
  <c r="C12" i="12"/>
  <c r="D6" i="12" s="1"/>
  <c r="M5" i="12"/>
  <c r="AK5" i="2"/>
  <c r="AI18" i="8"/>
  <c r="AJ8" i="8" s="1"/>
  <c r="AJ9" i="10"/>
  <c r="AL12" i="9"/>
  <c r="AY6" i="2"/>
  <c r="AZ6" i="2"/>
  <c r="H6" i="12"/>
  <c r="F6" i="12"/>
  <c r="CO4" i="2"/>
  <c r="AG4" i="2"/>
  <c r="AF18" i="2"/>
  <c r="AG7" i="2" s="1"/>
  <c r="AJ11" i="10"/>
  <c r="AM7" i="2"/>
  <c r="AT18" i="8"/>
  <c r="R8" i="12"/>
  <c r="O12" i="12" s="1"/>
  <c r="P8" i="12"/>
  <c r="N12" i="12" s="1"/>
  <c r="CB6" i="8"/>
  <c r="CB7" i="8" s="1"/>
  <c r="AG12" i="2"/>
  <c r="BV6" i="2"/>
  <c r="AH7" i="8"/>
  <c r="AO9" i="8"/>
  <c r="AS9" i="8" s="1"/>
  <c r="BR5" i="8"/>
  <c r="Y7" i="11"/>
  <c r="D8" i="12"/>
  <c r="AG18" i="9"/>
  <c r="AH6" i="9" s="1"/>
  <c r="AT4" i="2"/>
  <c r="AE18" i="8"/>
  <c r="AF10" i="8" s="1"/>
  <c r="AG18" i="8"/>
  <c r="AH6" i="8" s="1"/>
  <c r="AM18" i="8"/>
  <c r="AN13" i="8" s="1"/>
  <c r="AK11" i="2"/>
  <c r="BU5" i="2"/>
  <c r="BZ5" i="2"/>
  <c r="BA19" i="8"/>
  <c r="AL13" i="8"/>
  <c r="AB18" i="10"/>
  <c r="AC10" i="10" s="1"/>
  <c r="D27" i="12"/>
  <c r="AS18" i="10"/>
  <c r="W4" i="11"/>
  <c r="D25" i="12"/>
  <c r="AU18" i="8"/>
  <c r="CI5" i="8"/>
  <c r="AK6" i="2"/>
  <c r="CG4" i="2"/>
  <c r="AL15" i="8"/>
  <c r="AJ5" i="10"/>
  <c r="AO18" i="9"/>
  <c r="AE17" i="10"/>
  <c r="D23" i="12"/>
  <c r="AS11" i="8"/>
  <c r="AV11" i="8"/>
  <c r="AV18" i="8" s="1"/>
  <c r="AD6" i="12" s="1"/>
  <c r="AT18" i="9"/>
  <c r="AR4" i="9"/>
  <c r="B142" i="13"/>
  <c r="AS8" i="8"/>
  <c r="BE18" i="2"/>
  <c r="BC18" i="9"/>
  <c r="AQ5" i="2"/>
  <c r="AQ18" i="2" s="1"/>
  <c r="AV16" i="8"/>
  <c r="AU18" i="2"/>
  <c r="AW4" i="2"/>
  <c r="AZ4" i="9"/>
  <c r="AZ18" i="9" s="1"/>
  <c r="AV18" i="9"/>
  <c r="AY18" i="9"/>
  <c r="BA4" i="9"/>
  <c r="BA18" i="9" s="1"/>
  <c r="BB18" i="9"/>
  <c r="Y15" i="11"/>
  <c r="CI4" i="8"/>
  <c r="AH14" i="9"/>
  <c r="B139" i="13"/>
  <c r="K20" i="13"/>
  <c r="B153" i="13" s="1"/>
  <c r="BC18" i="8"/>
  <c r="AU14" i="9"/>
  <c r="AR18" i="10"/>
  <c r="Y14" i="11"/>
  <c r="P5" i="12"/>
  <c r="N13" i="12" s="1"/>
  <c r="AI9" i="2"/>
  <c r="W3" i="11"/>
  <c r="K77" i="13"/>
  <c r="AW17" i="2"/>
  <c r="AU16" i="10"/>
  <c r="BA18" i="2"/>
  <c r="BC18" i="2"/>
  <c r="AU17" i="9"/>
  <c r="BA16" i="9"/>
  <c r="AL18" i="10"/>
  <c r="AB17" i="11"/>
  <c r="Y13" i="12" s="1"/>
  <c r="E11" i="12"/>
  <c r="D11" i="12"/>
  <c r="M9" i="12"/>
  <c r="K96" i="13"/>
  <c r="AQ16" i="2"/>
  <c r="AW15" i="2"/>
  <c r="AP18" i="10"/>
  <c r="AQ8" i="10" s="1"/>
  <c r="AK18" i="9"/>
  <c r="BB18" i="8"/>
  <c r="AK18" i="10"/>
  <c r="W16" i="11"/>
  <c r="AS10" i="8"/>
  <c r="AT5" i="2"/>
  <c r="AW7" i="2"/>
  <c r="F5" i="12"/>
  <c r="G12" i="12"/>
  <c r="H16" i="12" s="1"/>
  <c r="AT16" i="2"/>
  <c r="AG18" i="10"/>
  <c r="Y6" i="11"/>
  <c r="AJ15" i="10"/>
  <c r="AN10" i="9"/>
  <c r="AS13" i="8"/>
  <c r="AQ18" i="8"/>
  <c r="AP5" i="8"/>
  <c r="AP18" i="8" s="1"/>
  <c r="X6" i="12" s="1"/>
  <c r="AT8" i="2"/>
  <c r="AX18" i="2"/>
  <c r="AJ13" i="10"/>
  <c r="W10" i="11"/>
  <c r="B151" i="13"/>
  <c r="AP16" i="8"/>
  <c r="AT15" i="2"/>
  <c r="AW18" i="8"/>
  <c r="AU11" i="9"/>
  <c r="AU6" i="10"/>
  <c r="D10" i="12"/>
  <c r="AA39" i="8"/>
  <c r="AL6" i="12" s="1"/>
  <c r="AL7" i="12" s="1"/>
  <c r="BP6" i="8"/>
  <c r="BQ7" i="8" s="1"/>
  <c r="BP5" i="2"/>
  <c r="AJ16" i="8"/>
  <c r="AJ12" i="10"/>
  <c r="W9" i="11"/>
  <c r="H115" i="13"/>
  <c r="AS16" i="8"/>
  <c r="AQ7" i="2"/>
  <c r="AT7" i="2" s="1"/>
  <c r="AR14" i="9"/>
  <c r="BA14" i="9"/>
  <c r="AT18" i="10"/>
  <c r="AU5" i="10" s="1"/>
  <c r="AY4" i="8"/>
  <c r="X5" i="12" l="1"/>
  <c r="X7" i="12" s="1"/>
  <c r="AE9" i="12"/>
  <c r="AY19" i="9"/>
  <c r="Y6" i="12"/>
  <c r="AQ19" i="8"/>
  <c r="Y11" i="12"/>
  <c r="AK19" i="10"/>
  <c r="AH5" i="12"/>
  <c r="AH7" i="12" s="1"/>
  <c r="BA19" i="2"/>
  <c r="AB5" i="12"/>
  <c r="AB7" i="12" s="1"/>
  <c r="AU19" i="2"/>
  <c r="CA5" i="2"/>
  <c r="AU10" i="10"/>
  <c r="BX7" i="2"/>
  <c r="BY5" i="2"/>
  <c r="AR19" i="8"/>
  <c r="Z6" i="12"/>
  <c r="AS5" i="8"/>
  <c r="AS18" i="8" s="1"/>
  <c r="AA6" i="12" s="1"/>
  <c r="AF5" i="8"/>
  <c r="AE5" i="12"/>
  <c r="AX19" i="2"/>
  <c r="AF9" i="12"/>
  <c r="AZ19" i="9"/>
  <c r="AK6" i="12"/>
  <c r="BC19" i="8"/>
  <c r="Y5" i="12"/>
  <c r="Y7" i="12" s="1"/>
  <c r="AR19" i="2"/>
  <c r="BB19" i="8"/>
  <c r="AJ6" i="12"/>
  <c r="AO18" i="8"/>
  <c r="D29" i="12"/>
  <c r="BX5" i="8"/>
  <c r="BR6" i="8"/>
  <c r="AC9" i="12"/>
  <c r="AW19" i="9"/>
  <c r="AW18" i="2"/>
  <c r="AD5" i="12" s="1"/>
  <c r="AD7" i="12" s="1"/>
  <c r="BW5" i="2"/>
  <c r="BV7" i="2"/>
  <c r="AQ6" i="10"/>
  <c r="AN12" i="10"/>
  <c r="AL11" i="9"/>
  <c r="AL6" i="9"/>
  <c r="AL10" i="9"/>
  <c r="AL16" i="9"/>
  <c r="AL15" i="9"/>
  <c r="AL8" i="9"/>
  <c r="AL13" i="9"/>
  <c r="AL4" i="9"/>
  <c r="AL14" i="9"/>
  <c r="AL9" i="9"/>
  <c r="AL17" i="9"/>
  <c r="AA11" i="11"/>
  <c r="AC8" i="10"/>
  <c r="AH7" i="9"/>
  <c r="AQ4" i="10"/>
  <c r="AE4" i="10"/>
  <c r="AE16" i="10"/>
  <c r="AE12" i="10"/>
  <c r="AE14" i="10"/>
  <c r="AE6" i="10"/>
  <c r="AD19" i="10"/>
  <c r="AE5" i="10"/>
  <c r="AE15" i="10"/>
  <c r="AE9" i="10"/>
  <c r="AE7" i="10"/>
  <c r="AE13" i="10"/>
  <c r="AE8" i="10"/>
  <c r="AJ4" i="9"/>
  <c r="AG11" i="2"/>
  <c r="AN5" i="8"/>
  <c r="AB11" i="12"/>
  <c r="AR19" i="10"/>
  <c r="Y9" i="12"/>
  <c r="AS19" i="9"/>
  <c r="AA6" i="11"/>
  <c r="AA15" i="11"/>
  <c r="AE6" i="12"/>
  <c r="AW19" i="8"/>
  <c r="AN6" i="10"/>
  <c r="AN10" i="10"/>
  <c r="AH15" i="8"/>
  <c r="AH9" i="8"/>
  <c r="AH12" i="8"/>
  <c r="AH14" i="8"/>
  <c r="AH4" i="8"/>
  <c r="AH17" i="8"/>
  <c r="AH16" i="8"/>
  <c r="AH10" i="8"/>
  <c r="AL9" i="8"/>
  <c r="AL12" i="8"/>
  <c r="AL6" i="8"/>
  <c r="AL8" i="8"/>
  <c r="AL10" i="8"/>
  <c r="AL11" i="8"/>
  <c r="AL14" i="8"/>
  <c r="AJ14" i="8"/>
  <c r="AP13" i="9"/>
  <c r="AP15" i="9"/>
  <c r="AP6" i="9"/>
  <c r="AP14" i="9"/>
  <c r="AP5" i="9"/>
  <c r="AP9" i="9"/>
  <c r="AP17" i="9"/>
  <c r="AP4" i="9"/>
  <c r="AP12" i="9"/>
  <c r="AP16" i="9"/>
  <c r="AP7" i="9"/>
  <c r="AP11" i="9"/>
  <c r="AC11" i="10"/>
  <c r="AN17" i="8"/>
  <c r="AD11" i="12"/>
  <c r="AU4" i="10"/>
  <c r="AU9" i="10"/>
  <c r="AU17" i="10"/>
  <c r="AU12" i="10"/>
  <c r="AU11" i="10"/>
  <c r="AT19" i="10"/>
  <c r="AU13" i="10"/>
  <c r="CC5" i="8"/>
  <c r="AK5" i="12"/>
  <c r="BE19" i="2"/>
  <c r="AT18" i="2"/>
  <c r="AA5" i="12" s="1"/>
  <c r="AA7" i="12" s="1"/>
  <c r="AF16" i="8"/>
  <c r="BW4" i="2"/>
  <c r="CC4" i="8"/>
  <c r="AH5" i="8"/>
  <c r="AL5" i="8"/>
  <c r="CA4" i="2"/>
  <c r="AG9" i="12"/>
  <c r="BA19" i="9"/>
  <c r="AL19" i="10"/>
  <c r="Z11" i="12"/>
  <c r="AN11" i="10"/>
  <c r="AA11" i="12"/>
  <c r="AN9" i="10"/>
  <c r="AN14" i="10"/>
  <c r="AN4" i="10"/>
  <c r="AN17" i="10"/>
  <c r="AM19" i="10"/>
  <c r="AN16" i="10"/>
  <c r="AN7" i="10"/>
  <c r="AA5" i="11"/>
  <c r="AI9" i="12"/>
  <c r="BC19" i="9"/>
  <c r="AC6" i="12"/>
  <c r="AC7" i="12" s="1"/>
  <c r="AU19" i="8"/>
  <c r="AF14" i="8"/>
  <c r="AE19" i="8"/>
  <c r="AI19" i="8"/>
  <c r="AF6" i="8"/>
  <c r="AF15" i="8"/>
  <c r="AF9" i="8"/>
  <c r="AF17" i="8"/>
  <c r="AM19" i="8"/>
  <c r="AF7" i="8"/>
  <c r="AF4" i="8"/>
  <c r="AB6" i="12"/>
  <c r="AT19" i="8"/>
  <c r="AJ15" i="8"/>
  <c r="AJ12" i="8"/>
  <c r="AJ9" i="8"/>
  <c r="AJ17" i="8"/>
  <c r="AJ4" i="8"/>
  <c r="AJ5" i="8"/>
  <c r="AJ10" i="8"/>
  <c r="W13" i="12"/>
  <c r="Y10" i="11"/>
  <c r="Y8" i="11"/>
  <c r="Y4" i="11"/>
  <c r="Y16" i="11"/>
  <c r="Y13" i="11"/>
  <c r="X18" i="11"/>
  <c r="Y3" i="11"/>
  <c r="Y9" i="11"/>
  <c r="Y5" i="11"/>
  <c r="AP10" i="9"/>
  <c r="AL5" i="9"/>
  <c r="AN8" i="8"/>
  <c r="W11" i="12"/>
  <c r="AF19" i="10"/>
  <c r="AH11" i="8"/>
  <c r="AN15" i="10"/>
  <c r="AJ13" i="8"/>
  <c r="AG10" i="2"/>
  <c r="AJ5" i="12"/>
  <c r="AJ7" i="12" s="1"/>
  <c r="BC19" i="2"/>
  <c r="W9" i="12"/>
  <c r="AQ19" i="9"/>
  <c r="AQ10" i="10"/>
  <c r="AQ17" i="10"/>
  <c r="AQ15" i="10"/>
  <c r="AQ12" i="10"/>
  <c r="AQ5" i="10"/>
  <c r="AQ14" i="10"/>
  <c r="AQ13" i="10"/>
  <c r="AQ11" i="10"/>
  <c r="AP8" i="9"/>
  <c r="AJ17" i="9"/>
  <c r="AJ15" i="9"/>
  <c r="AJ11" i="9"/>
  <c r="AJ16" i="9"/>
  <c r="AJ6" i="9"/>
  <c r="AJ10" i="9"/>
  <c r="AJ13" i="9"/>
  <c r="AJ8" i="9"/>
  <c r="AJ9" i="9"/>
  <c r="AK19" i="9"/>
  <c r="AJ14" i="9"/>
  <c r="AJ7" i="9"/>
  <c r="AQ9" i="10"/>
  <c r="AH17" i="9"/>
  <c r="AH16" i="9"/>
  <c r="AH15" i="9"/>
  <c r="AG19" i="9"/>
  <c r="AH13" i="9"/>
  <c r="AH10" i="9"/>
  <c r="AH9" i="9"/>
  <c r="AH4" i="9"/>
  <c r="AH8" i="9"/>
  <c r="AH12" i="9"/>
  <c r="AU7" i="10"/>
  <c r="M10" i="12"/>
  <c r="N8" i="12" s="1"/>
  <c r="BU4" i="2"/>
  <c r="AL17" i="8"/>
  <c r="X13" i="12"/>
  <c r="AA10" i="11"/>
  <c r="AA8" i="11"/>
  <c r="Z18" i="11"/>
  <c r="AA16" i="11"/>
  <c r="AA12" i="11"/>
  <c r="AA4" i="11"/>
  <c r="AC15" i="10"/>
  <c r="AC14" i="10"/>
  <c r="AC12" i="10"/>
  <c r="AC7" i="10"/>
  <c r="AC6" i="10"/>
  <c r="AB19" i="10"/>
  <c r="AC13" i="10"/>
  <c r="AC4" i="10"/>
  <c r="AC9" i="10"/>
  <c r="AC5" i="10"/>
  <c r="AN8" i="10"/>
  <c r="AR18" i="9"/>
  <c r="X9" i="12" s="1"/>
  <c r="AU4" i="9"/>
  <c r="AU18" i="9" s="1"/>
  <c r="AQ16" i="10"/>
  <c r="AQ7" i="10"/>
  <c r="AC16" i="10"/>
  <c r="AE11" i="10"/>
  <c r="AH13" i="8"/>
  <c r="AC11" i="12"/>
  <c r="AS19" i="10"/>
  <c r="AV19" i="9"/>
  <c r="AB9" i="12"/>
  <c r="X11" i="12"/>
  <c r="AG19" i="10"/>
  <c r="AN12" i="8"/>
  <c r="AN15" i="8"/>
  <c r="BM7" i="8"/>
  <c r="AN10" i="8"/>
  <c r="AN14" i="8"/>
  <c r="AN11" i="8"/>
  <c r="AN16" i="8"/>
  <c r="AN9" i="8"/>
  <c r="AN6" i="8"/>
  <c r="O9" i="12"/>
  <c r="AU8" i="10"/>
  <c r="AA7" i="11"/>
  <c r="F11" i="12"/>
  <c r="H11" i="12"/>
  <c r="AH9" i="12"/>
  <c r="BB19" i="9"/>
  <c r="Z9" i="12"/>
  <c r="AR19" i="9"/>
  <c r="AT19" i="9"/>
  <c r="AA14" i="11"/>
  <c r="AG14" i="2"/>
  <c r="AG15" i="2"/>
  <c r="AG16" i="2"/>
  <c r="AG13" i="2"/>
  <c r="AF19" i="2"/>
  <c r="AG8" i="2"/>
  <c r="AG9" i="2"/>
  <c r="AG17" i="2"/>
  <c r="Z7" i="12"/>
  <c r="AG5" i="2"/>
  <c r="E12" i="12"/>
  <c r="H15" i="12" s="1"/>
  <c r="Z13" i="12"/>
  <c r="AC18" i="11"/>
  <c r="AF11" i="8"/>
  <c r="AO19" i="9"/>
  <c r="BY4" i="2"/>
  <c r="AA9" i="12" l="1"/>
  <c r="AU19" i="9"/>
  <c r="AE7" i="12"/>
  <c r="N7" i="12"/>
  <c r="AK7" i="12"/>
  <c r="BR7" i="8"/>
  <c r="BS4" i="8"/>
  <c r="N5" i="12"/>
  <c r="BS5" i="8"/>
  <c r="N6" i="12"/>
  <c r="BX6" i="8"/>
  <c r="BZ7" i="2"/>
  <c r="AS19" i="8"/>
  <c r="W6" i="12"/>
  <c r="W7" i="12" s="1"/>
  <c r="AO19" i="8"/>
  <c r="AT19" i="2"/>
  <c r="R9" i="12"/>
  <c r="O16" i="12" s="1"/>
  <c r="P9" i="12"/>
  <c r="N16" i="12" s="1"/>
  <c r="O10" i="12"/>
  <c r="N9" i="12"/>
  <c r="BX7" i="8" l="1"/>
  <c r="BY4" i="8"/>
  <c r="BY5" i="8"/>
  <c r="N10"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P6" authorId="0" shapeId="0" xr:uid="{CE09E477-F12F-4D2F-B6C3-1EA96C672291}">
      <text>
        <r>
          <rPr>
            <b/>
            <sz val="9"/>
            <color indexed="81"/>
            <rFont val="Tahoma"/>
            <family val="2"/>
            <charset val="204"/>
          </rPr>
          <t>HP:</t>
        </r>
        <r>
          <rPr>
            <sz val="9"/>
            <color indexed="81"/>
            <rFont val="Tahoma"/>
            <family val="2"/>
            <charset val="204"/>
          </rPr>
          <t xml:space="preserve">
Before there were two shifts for 320 students, now 320 students can study in one shift</t>
        </r>
      </text>
    </comment>
    <comment ref="T8" authorId="0" shapeId="0" xr:uid="{3396BA8E-B248-4C89-BDD8-131EBE2BFF84}">
      <text>
        <r>
          <rPr>
            <b/>
            <sz val="9"/>
            <color indexed="81"/>
            <rFont val="Tahoma"/>
            <family val="2"/>
            <charset val="204"/>
          </rPr>
          <t>HP:</t>
        </r>
        <r>
          <rPr>
            <sz val="9"/>
            <color indexed="81"/>
            <rFont val="Tahoma"/>
            <family val="2"/>
            <charset val="204"/>
          </rPr>
          <t xml:space="preserve">
Old large building was demolished and constructed new building with smaller area but with better facilities</t>
        </r>
      </text>
    </comment>
    <comment ref="R30" authorId="0" shapeId="0" xr:uid="{C2C2981B-86B8-49C4-BD01-27F2CD84D227}">
      <text>
        <r>
          <rPr>
            <b/>
            <sz val="9"/>
            <color indexed="81"/>
            <rFont val="Tahoma"/>
            <family val="2"/>
            <charset val="204"/>
          </rPr>
          <t>HP:</t>
        </r>
        <r>
          <rPr>
            <sz val="9"/>
            <color indexed="81"/>
            <rFont val="Tahoma"/>
            <family val="2"/>
            <charset val="204"/>
          </rPr>
          <t xml:space="preserve">
1 storey building was demolished and rebuilt as 2 storey building</t>
        </r>
      </text>
    </comment>
    <comment ref="R31" authorId="0" shapeId="0" xr:uid="{8B2D3BBE-3132-42A9-9930-D72C6BAFEFC2}">
      <text>
        <r>
          <rPr>
            <b/>
            <sz val="9"/>
            <color indexed="81"/>
            <rFont val="Tahoma"/>
            <family val="2"/>
            <charset val="204"/>
          </rPr>
          <t>HP:</t>
        </r>
        <r>
          <rPr>
            <sz val="9"/>
            <color indexed="81"/>
            <rFont val="Tahoma"/>
            <family val="2"/>
            <charset val="204"/>
          </rPr>
          <t xml:space="preserve">
Part of old building was rebuilt and other part was reconstructed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U5" authorId="0" shapeId="0" xr:uid="{D97509E4-0173-44B8-90B4-4ADCBE61C957}">
      <text>
        <r>
          <rPr>
            <b/>
            <sz val="9"/>
            <color rgb="FF000000"/>
            <rFont val="Tahoma"/>
            <family val="2"/>
            <charset val="204"/>
          </rPr>
          <t>HP:</t>
        </r>
        <r>
          <rPr>
            <sz val="9"/>
            <color rgb="FF000000"/>
            <rFont val="Tahoma"/>
            <family val="2"/>
            <charset val="204"/>
          </rPr>
          <t xml:space="preserve">
</t>
        </r>
        <r>
          <rPr>
            <sz val="9"/>
            <color rgb="FF000000"/>
            <rFont val="Tahoma"/>
            <family val="2"/>
            <charset val="204"/>
          </rPr>
          <t>Totally new building was built, but number of beds and staff remained the same</t>
        </r>
      </text>
    </comment>
    <comment ref="U6" authorId="0" shapeId="0" xr:uid="{4206745E-E6B2-48CD-A0A5-A591FCAD5F7F}">
      <text>
        <r>
          <rPr>
            <b/>
            <sz val="9"/>
            <color indexed="81"/>
            <rFont val="Tahoma"/>
            <family val="2"/>
            <charset val="204"/>
          </rPr>
          <t>HP:</t>
        </r>
        <r>
          <rPr>
            <sz val="9"/>
            <color indexed="81"/>
            <rFont val="Tahoma"/>
            <family val="2"/>
            <charset val="204"/>
          </rPr>
          <t xml:space="preserve">
Totally new building was built, but number of beds and staff remained the same</t>
        </r>
      </text>
    </comment>
    <comment ref="U9" authorId="0" shapeId="0" xr:uid="{D2D058FD-1B31-434B-A0D8-0CD21A43D8DD}">
      <text>
        <r>
          <rPr>
            <b/>
            <sz val="9"/>
            <color rgb="FF000000"/>
            <rFont val="Tahoma"/>
            <family val="2"/>
            <charset val="204"/>
          </rPr>
          <t>HP:</t>
        </r>
        <r>
          <rPr>
            <sz val="9"/>
            <color rgb="FF000000"/>
            <rFont val="Tahoma"/>
            <family val="2"/>
            <charset val="204"/>
          </rPr>
          <t xml:space="preserve">
</t>
        </r>
        <r>
          <rPr>
            <sz val="9"/>
            <color rgb="FF000000"/>
            <rFont val="Tahoma"/>
            <family val="2"/>
            <charset val="204"/>
          </rPr>
          <t>Old unused building was refurbished for the newly established district hospital</t>
        </r>
      </text>
    </comment>
    <comment ref="U11" authorId="0" shapeId="0" xr:uid="{C097B685-7D1D-4D66-A47C-1E36F04B72DD}">
      <text>
        <r>
          <rPr>
            <b/>
            <sz val="9"/>
            <color indexed="81"/>
            <rFont val="Tahoma"/>
            <family val="2"/>
            <charset val="204"/>
          </rPr>
          <t>HP:</t>
        </r>
        <r>
          <rPr>
            <sz val="9"/>
            <color indexed="81"/>
            <rFont val="Tahoma"/>
            <family val="2"/>
            <charset val="204"/>
          </rPr>
          <t xml:space="preserve">
Totally new building was built, but number of beds and staff remained the same</t>
        </r>
      </text>
    </comment>
  </commentList>
</comments>
</file>

<file path=xl/sharedStrings.xml><?xml version="1.0" encoding="utf-8"?>
<sst xmlns="http://schemas.openxmlformats.org/spreadsheetml/2006/main" count="2472" uniqueCount="956">
  <si>
    <t>Лойиҳанинг номи</t>
  </si>
  <si>
    <t>Бош пудратчи ташкилот номи</t>
  </si>
  <si>
    <t>Масъул ходимнинг исм-шарифи</t>
  </si>
  <si>
    <t>Масъул ходимнинг телефон рақами</t>
  </si>
  <si>
    <t>"Тошкент метрожилстрой"
МЧЖ</t>
  </si>
  <si>
    <t>"Нурафшон гранд продуктион " МЧЖ</t>
  </si>
  <si>
    <t>"Меъмор Номе"
МЧЖ</t>
  </si>
  <si>
    <t xml:space="preserve">"Озода МРТ"
МЧЖ                    </t>
  </si>
  <si>
    <t>"Охангарон Шохрух Файз" МЧЖ</t>
  </si>
  <si>
    <t xml:space="preserve">"Кўхинур Мадад Ҳамкор" МЧЖ                      </t>
  </si>
  <si>
    <t>"Кухинур мадад хамрох" МЧЖ</t>
  </si>
  <si>
    <t>Ризо КТХФ</t>
  </si>
  <si>
    <t>ООО "Нурафшон замин гавхари"</t>
  </si>
  <si>
    <t>OOO DZ Inshoat Service</t>
  </si>
  <si>
    <t>"Файз қурилиш сервис" ХК</t>
  </si>
  <si>
    <t xml:space="preserve">Юлдашева Гулчехра </t>
  </si>
  <si>
    <t>93 - 958 06 09</t>
  </si>
  <si>
    <t>-</t>
  </si>
  <si>
    <t xml:space="preserve">Махмудов Музафар </t>
  </si>
  <si>
    <t>+998901197710</t>
  </si>
  <si>
    <t>Даниева Холида Очиловна</t>
  </si>
  <si>
    <t>97-454-41-03</t>
  </si>
  <si>
    <t>Мамашоев Анвар</t>
  </si>
  <si>
    <t>94-942-05-06</t>
  </si>
  <si>
    <t>"GALLANT BUILDING" MCHJ</t>
  </si>
  <si>
    <t>"ENERGOMONTAJ INVEST QURILISH" MCHJ</t>
  </si>
  <si>
    <t>"KUSHON DIZAYN QURILISH" MCHJ</t>
  </si>
  <si>
    <t>"OXANGARON BUNYODKOR BINOKOR" MCHJ</t>
  </si>
  <si>
    <t>"YUKSAK TA'LIM TA'MIR QURILISH" MCHJ</t>
  </si>
  <si>
    <t>"ENERGY ENGINEERING COMMUNICATIONS" МЧЖ</t>
  </si>
  <si>
    <t>Асадов Хусан Даминовмч</t>
  </si>
  <si>
    <t>95-020-8338</t>
  </si>
  <si>
    <t>93-396-78-96</t>
  </si>
  <si>
    <t xml:space="preserve">Зарипов Убайдулла </t>
  </si>
  <si>
    <t>99 851-02-70</t>
  </si>
  <si>
    <t>90-121-52-53</t>
  </si>
  <si>
    <t>99-819-75-23</t>
  </si>
  <si>
    <t>Махатов Абдували</t>
  </si>
  <si>
    <t>99-763-10-57</t>
  </si>
  <si>
    <t>Бакирова Ходича Ахмаджонова</t>
  </si>
  <si>
    <t>Ахмедов Рустам Лутфиллаевич</t>
  </si>
  <si>
    <t>90-922-57-38</t>
  </si>
  <si>
    <t>Азиззанова Гулнора</t>
  </si>
  <si>
    <t>93-375-23-35</t>
  </si>
  <si>
    <t>Норбутаев Эркин</t>
  </si>
  <si>
    <t>Исмоилова Мохидил Абдулатив қизи</t>
  </si>
  <si>
    <t>99-841-36-21</t>
  </si>
  <si>
    <t>+998976096700</t>
  </si>
  <si>
    <t>Ахмедова Мавжуда</t>
  </si>
  <si>
    <t>Айнаркулова Муяссар</t>
  </si>
  <si>
    <t>97-784-77-06</t>
  </si>
  <si>
    <t>+99893 5920403</t>
  </si>
  <si>
    <t>Самандаров Рустам</t>
  </si>
  <si>
    <r>
      <t xml:space="preserve">Тошкент вилояти Силга қарши кураш диспансери 
</t>
    </r>
    <r>
      <rPr>
        <i/>
        <sz val="11"/>
        <rFont val="Times New Roman"/>
        <family val="1"/>
        <charset val="204"/>
      </rPr>
      <t>(3-босқич қабул диагностика бўлими, режали жарроҳлик ва операция бўлимлари)</t>
    </r>
  </si>
  <si>
    <t>Зияев Тулкин</t>
  </si>
  <si>
    <t>Исматов Анвар</t>
  </si>
  <si>
    <t>+99894-616-02-06</t>
  </si>
  <si>
    <r>
      <t xml:space="preserve">Тошкент туман тиббиёт бирлашмаси 
</t>
    </r>
    <r>
      <rPr>
        <i/>
        <sz val="11"/>
        <rFont val="Times New Roman"/>
        <family val="1"/>
        <charset val="204"/>
      </rPr>
      <t>(300 қатновли кўп тармоқли янги марказий поликлиника биноси)</t>
    </r>
  </si>
  <si>
    <t>Ўчилов Ёдгор Ибодович
Қодиров Ислом (ғазначилик)</t>
  </si>
  <si>
    <t>93-626-16-33
97-798-77-27</t>
  </si>
  <si>
    <t>Гала Осиё Сохтимон ИТК Х/к</t>
  </si>
  <si>
    <t>Хикматова Сабохат Исматовна
Эшов Ортиқ Насреддинович 
(ғазначилик)</t>
  </si>
  <si>
    <t>91-409 17 43
88-183 50 05</t>
  </si>
  <si>
    <t>""Наврўз Акмал строй инвест" МЧЖ</t>
  </si>
  <si>
    <t>Избосаров Ахтам Абдукарим угли
Ҳикматов Файзилло Сайфуллович (ғазначилик)</t>
  </si>
  <si>
    <t>93-453-82-36
93-476-03-61</t>
  </si>
  <si>
    <t>11.05.2021</t>
  </si>
  <si>
    <t>11.10.2021</t>
  </si>
  <si>
    <t>"Қурилиш стандарт таъминот сервис" МЧЖ</t>
  </si>
  <si>
    <t>Одилова Маржона Собировна
Каримов Набижон Олимович (ғазначилик)</t>
  </si>
  <si>
    <t>91-412-02-58
91-413-99-95</t>
  </si>
  <si>
    <t>Бухоро Гидро Техника МЧЖ</t>
  </si>
  <si>
    <t>Хусенов Икром Халилович
Кодиров Ислом Савритдинович (ғазначилик)</t>
  </si>
  <si>
    <t>91-797-44-04
97-798-77-27</t>
  </si>
  <si>
    <t>01.01.2021</t>
  </si>
  <si>
    <t>15.11.2021</t>
  </si>
  <si>
    <t>Ғиждувон Говшун Махсус курулиш монтаж МЧЖ</t>
  </si>
  <si>
    <t>Бекмуродов Шахзод 
Каримов Набижон Олимович (ғазначилик)</t>
  </si>
  <si>
    <t>97-306-86-06
91-413-99-95</t>
  </si>
  <si>
    <t>"Ўрта Осиё Сув Қурилиш"МЧЖ</t>
  </si>
  <si>
    <t>Норов Элдор Наимович
Мухамадиев Фурқат (ғазначилик)</t>
  </si>
  <si>
    <t>93-453-77-33
 99-700-03-01</t>
  </si>
  <si>
    <t>"BUXORO-SUVXIZMAT" МЧЖ</t>
  </si>
  <si>
    <t>Сатторов Руслан</t>
  </si>
  <si>
    <t>97-377-71-50</t>
  </si>
  <si>
    <t>«BEKTOSH» МЧЖ</t>
  </si>
  <si>
    <t>14.04.2021й</t>
  </si>
  <si>
    <t>15.05.2021 й</t>
  </si>
  <si>
    <t>«BINOKOR» МЧЖ</t>
  </si>
  <si>
    <t>"Ишонч гилам" МЧЖ</t>
  </si>
  <si>
    <t>n/a</t>
  </si>
  <si>
    <t>"Карманамахсуссувпудрат" МЧЖ</t>
  </si>
  <si>
    <t>Заитжонов Умиджон</t>
  </si>
  <si>
    <t>93 4191131</t>
  </si>
  <si>
    <t>Фирдавс замин барака МЧЖ</t>
  </si>
  <si>
    <t>Мадаминов Навруз</t>
  </si>
  <si>
    <t>94 4344742</t>
  </si>
  <si>
    <t>Яхшилик сари МЧЖ</t>
  </si>
  <si>
    <t>Тошназаров Одил</t>
  </si>
  <si>
    <t>99 4411171</t>
  </si>
  <si>
    <t>Тошсарфаргишт ХК</t>
  </si>
  <si>
    <t>Буронбоев Жахонгир</t>
  </si>
  <si>
    <t>94 1009182</t>
  </si>
  <si>
    <t>Янги замон курувчиси МЧЖ</t>
  </si>
  <si>
    <t>Жураев Акбаржон</t>
  </si>
  <si>
    <t>91 4800040</t>
  </si>
  <si>
    <t>Азимут строй МЧЖ</t>
  </si>
  <si>
    <t>Артиков Сардор</t>
  </si>
  <si>
    <t>88 2171777</t>
  </si>
  <si>
    <t>"Шодлик Гранд Хаус" МЧЖ</t>
  </si>
  <si>
    <t>Абдуллаев Донёр</t>
  </si>
  <si>
    <t>90 7725069</t>
  </si>
  <si>
    <t>"Андижон Тезкор Курилиш" МЧЖ</t>
  </si>
  <si>
    <t>Хошимов Даврон</t>
  </si>
  <si>
    <t xml:space="preserve">99 4335353 </t>
  </si>
  <si>
    <t>Ферум декор МЧЖ</t>
  </si>
  <si>
    <t>Солиев Лутфилло</t>
  </si>
  <si>
    <t>93 2502277</t>
  </si>
  <si>
    <t>Иқтисослашган Шахрихон қурилиш МЧЖ</t>
  </si>
  <si>
    <t>* Андижон шахридаги 8-сон оилавий поликлиникани янгидан қуриш</t>
  </si>
  <si>
    <t>Кодиров Зафаржон</t>
  </si>
  <si>
    <t>"Азимут Сртой" МЧЖ</t>
  </si>
  <si>
    <r>
      <t xml:space="preserve">Хўжаобод тумани тиббиёт бирлашмаси 
</t>
    </r>
    <r>
      <rPr>
        <i/>
        <sz val="11"/>
        <rFont val="Times New Roman"/>
        <family val="1"/>
        <charset val="204"/>
      </rPr>
      <t xml:space="preserve">(15 ўринли жарроҳлик, 15 ўринли шошилинч тез ёрдам бўлими, 45 ўринли терапия, 35 ўринли болалар бўлимлари) </t>
    </r>
  </si>
  <si>
    <t>Камолов Аваз</t>
  </si>
  <si>
    <t>"Стандарт бинокор қурилиш" МЧЖ</t>
  </si>
  <si>
    <r>
      <t xml:space="preserve">Қўрғонтепа тумани тиббиёт бирлашмаси 
</t>
    </r>
    <r>
      <rPr>
        <i/>
        <sz val="11"/>
        <rFont val="Times New Roman"/>
        <family val="1"/>
        <charset val="204"/>
      </rPr>
      <t>(50 ўринли болалар бўлими ва қабул диагностика бўлимини собиқ туғруқ комплекси биносига жойлаштириш ва ёрдамчи бинолар)</t>
    </r>
  </si>
  <si>
    <t>Мамажонов Лазиз</t>
  </si>
  <si>
    <t>Азимут Строй МЧЖ</t>
  </si>
  <si>
    <r>
      <t xml:space="preserve">Марҳамат тумани тиббиёт бирлашмаси 
</t>
    </r>
    <r>
      <rPr>
        <i/>
        <sz val="11"/>
        <rFont val="Times New Roman"/>
        <family val="1"/>
        <charset val="204"/>
      </rPr>
      <t>(50 ўринли болалар бўлими ёрдамчи бинолар)</t>
    </r>
  </si>
  <si>
    <t>Шарипов Нозимжон</t>
  </si>
  <si>
    <t>"Барака Файз" МЧЖ</t>
  </si>
  <si>
    <t xml:space="preserve">Избоскан туманидаги Чуама "Мурувват" ногиронлиги бўлган аёллар учун интернат уйи </t>
  </si>
  <si>
    <t>Абдулатибов  Абдулхамид</t>
  </si>
  <si>
    <t>Иззатбек савдо капитали МЧЖ</t>
  </si>
  <si>
    <t xml:space="preserve">Вилоят Ногиронлиги бўлган шахсларни реабилитация қилиш ва протезлаш маркази </t>
  </si>
  <si>
    <t>Шералихонов Нозимхон</t>
  </si>
  <si>
    <r>
      <t>Бекабод шаҳар тиббиёт бирлашмаси</t>
    </r>
    <r>
      <rPr>
        <i/>
        <sz val="11"/>
        <rFont val="Times New Roman"/>
        <family val="1"/>
        <charset val="204"/>
      </rPr>
      <t xml:space="preserve"> 
(45 ўринли юқумли касалликлар бўлими) </t>
    </r>
  </si>
  <si>
    <t>Тухтасинов Бегзод</t>
  </si>
  <si>
    <t>97 9949292</t>
  </si>
  <si>
    <t>АНД мел-ир таъмир қурилиш МЧЖ</t>
  </si>
  <si>
    <t>Мамиров Саидакбар</t>
  </si>
  <si>
    <t>93 2585151</t>
  </si>
  <si>
    <t>"Жалақудуқмахсуссувпудрат" МЧЖ</t>
  </si>
  <si>
    <t>Шодмонов Абдувахоб</t>
  </si>
  <si>
    <t>93 6300014</t>
  </si>
  <si>
    <t>Жураев Бахтиёр</t>
  </si>
  <si>
    <t>90 1421470</t>
  </si>
  <si>
    <t>Улугнормахсуссувпудрат МЧЖ</t>
  </si>
  <si>
    <t>Балтабаев Дамир</t>
  </si>
  <si>
    <t>+99897-500-99-88</t>
  </si>
  <si>
    <t>ООО "MEKTEP QURILIS SERVIS"</t>
  </si>
  <si>
    <t>"АМУ ДАРЬЯ" МЧЖ</t>
  </si>
  <si>
    <t>OOO "TUPROQQALA MAXSUS QURILISH"</t>
  </si>
  <si>
    <t> Айдос Курылыс Монтаж</t>
  </si>
  <si>
    <t> ПП ООО `Сантехгазмонтаж`</t>
  </si>
  <si>
    <r>
      <t xml:space="preserve">Бўзатов туманидаги тиббиёт бирлашмаси 
</t>
    </r>
    <r>
      <rPr>
        <i/>
        <sz val="11"/>
        <color theme="1"/>
        <rFont val="Times New Roman"/>
        <family val="1"/>
        <charset val="204"/>
      </rPr>
      <t xml:space="preserve">(100 қатновли кўп тармоқли марказий поликлиника, 15 ўринли шошилинч тез ёрдам бўлими, 5 ўринли юқумли касалликлар, 10 ўринли терапия, 10 ўринли туғруқ, 5 ўринли болалар бўлимлари ҳамда Бўзатов тумани Санитария эпедимиология хизматини жойлаштириш) </t>
    </r>
    <r>
      <rPr>
        <sz val="11"/>
        <color theme="1"/>
        <rFont val="Times New Roman"/>
        <family val="1"/>
        <charset val="204"/>
      </rPr>
      <t xml:space="preserve"> </t>
    </r>
  </si>
  <si>
    <t>12.05.2021</t>
  </si>
  <si>
    <t>ООО "Бахыт миратдин курылыс"</t>
  </si>
  <si>
    <t>20.04.2021</t>
  </si>
  <si>
    <t>OOO "NOKIS ILDYAR QURILISH"</t>
  </si>
  <si>
    <t>"SUXROB ZOXID" МЧЖ</t>
  </si>
  <si>
    <t>"ШУРАХОН КУРИЛИШ МОНТАЖ" МЧЖ</t>
  </si>
  <si>
    <t>"Аркавой Мелиоратор" МЧЖ</t>
  </si>
  <si>
    <t>Наханов Элбек Йулдошевич</t>
  </si>
  <si>
    <t>+998944723060</t>
  </si>
  <si>
    <t>“Толиб бобо АКТ” МЧЖ</t>
  </si>
  <si>
    <t>Бойхуразов Бахром Элибоевич</t>
  </si>
  <si>
    <t>+998979198186</t>
  </si>
  <si>
    <t>Жомбой қурилиш МЧЖ</t>
  </si>
  <si>
    <t>Элбоев Илхом  Субхонкулович</t>
  </si>
  <si>
    <t>+998982738224</t>
  </si>
  <si>
    <t>"Темир Қалқон"МЧЖ</t>
  </si>
  <si>
    <t>Васиев Нурали Рустамович</t>
  </si>
  <si>
    <t>93 346 46 16</t>
  </si>
  <si>
    <t>"Турон" хк</t>
  </si>
  <si>
    <t xml:space="preserve"> 30 12.2021</t>
  </si>
  <si>
    <t xml:space="preserve"> 30 12 2022   </t>
  </si>
  <si>
    <t xml:space="preserve"> МКК 7 МЧЖ</t>
  </si>
  <si>
    <r>
      <t xml:space="preserve"> Самарканд туман тиббиёт бирлашмаси 
</t>
    </r>
    <r>
      <rPr>
        <i/>
        <sz val="11"/>
        <color theme="1"/>
        <rFont val="Times New Roman"/>
        <family val="1"/>
        <charset val="204"/>
      </rPr>
      <t>(140 уринли терапия мажмуаси)</t>
    </r>
  </si>
  <si>
    <t>Ниязов Элмурод Уктамович</t>
  </si>
  <si>
    <t>+998932888320</t>
  </si>
  <si>
    <t>Гидро капитал мелио қурилиш МЧЖ</t>
  </si>
  <si>
    <t>Тиллаев Ахрорхон Акбарович</t>
  </si>
  <si>
    <t>99-132-04-56</t>
  </si>
  <si>
    <t>28.04.2021</t>
  </si>
  <si>
    <t>25.08.2021</t>
  </si>
  <si>
    <t>"Мукаммал қурилиш савдо" МЧЖ</t>
  </si>
  <si>
    <t>Жалилов Суннатилло Мухддинович</t>
  </si>
  <si>
    <t>94-197-11-80</t>
  </si>
  <si>
    <t>Жиззах туманлараро сув тармоқ таъмир МЧЖ</t>
  </si>
  <si>
    <t>Эргашев Азамат Улуғбек ўғли</t>
  </si>
  <si>
    <t>99-166-88-00</t>
  </si>
  <si>
    <t>05.08.2022</t>
  </si>
  <si>
    <t>01.04.2023</t>
  </si>
  <si>
    <t>FAYZ BARAKA KLASSIK MCHJ</t>
  </si>
  <si>
    <t>27.04.2020</t>
  </si>
  <si>
    <t>01.11.2021</t>
  </si>
  <si>
    <t>"Ж-Қурувчи"МЧЖ</t>
  </si>
  <si>
    <r>
      <t xml:space="preserve">Зомин туман тиббиёт бирлашмаси 
</t>
    </r>
    <r>
      <rPr>
        <i/>
        <sz val="11"/>
        <rFont val="Times New Roman"/>
        <family val="1"/>
        <charset val="204"/>
      </rPr>
      <t>(150 қатновли кўп тармоқли марказий поликлиника, 50 ўринли болалар бўлими биноси)</t>
    </r>
  </si>
  <si>
    <t>13.07.2021</t>
  </si>
  <si>
    <t>"TOZASUV INSHOAT"</t>
  </si>
  <si>
    <t>22.04.2021</t>
  </si>
  <si>
    <t>30.12.2021</t>
  </si>
  <si>
    <t>“Шухрат-Нодирбек”</t>
  </si>
  <si>
    <t>Каримов Бахтиёр</t>
  </si>
  <si>
    <t>+998882550024</t>
  </si>
  <si>
    <t>Келажак замон сардори</t>
  </si>
  <si>
    <t>ЖЎРАБАЕВ БОБУРЖОН МИРЗАЕВИЧ</t>
  </si>
  <si>
    <t>BUNYODKOR BUNYOD SERVIS MCHJ</t>
  </si>
  <si>
    <t>Мадаминов Бекмурод</t>
  </si>
  <si>
    <t>+998939013080</t>
  </si>
  <si>
    <t>"Наманган Давр қурилиш" МЧЖ</t>
  </si>
  <si>
    <t>А.Холиков</t>
  </si>
  <si>
    <t>+998999741047</t>
  </si>
  <si>
    <t>"Мехнат нури" Хусусий қорхонаси</t>
  </si>
  <si>
    <t>Абдуллаев Бахтиёр</t>
  </si>
  <si>
    <t>97-253-67-89</t>
  </si>
  <si>
    <t>"Олтин водий" Х/К</t>
  </si>
  <si>
    <t xml:space="preserve">Содиков Нумонжон  </t>
  </si>
  <si>
    <t>(+99893 403-46-76)</t>
  </si>
  <si>
    <t>Мирхолдоршо Ота хусусий корхонаси</t>
  </si>
  <si>
    <t>М.Эргашева</t>
  </si>
  <si>
    <t>94-273-93-92</t>
  </si>
  <si>
    <t>Обиджон Акмалхон МЧЖ</t>
  </si>
  <si>
    <t>Қодиров Фахриддин Рўзматович</t>
  </si>
  <si>
    <t>+998945904437</t>
  </si>
  <si>
    <t>"Наманган НХМКК" МЧЖ</t>
  </si>
  <si>
    <t>Р.Мирзаева</t>
  </si>
  <si>
    <t>+998936782238</t>
  </si>
  <si>
    <t>А.Турсунова</t>
  </si>
  <si>
    <t>90 694 66 77</t>
  </si>
  <si>
    <t>2021 апрел</t>
  </si>
  <si>
    <t>2022 йил декабр</t>
  </si>
  <si>
    <t>Ягона буюртмачи инжинеринг компанияси</t>
  </si>
  <si>
    <t>Исмаилов самад Абдусаламович</t>
  </si>
  <si>
    <t>+998913526975</t>
  </si>
  <si>
    <t>"Бунёдкор Мубошер" МЧЖ</t>
  </si>
  <si>
    <t>Ибрагимова Дилбар Исмаиловна</t>
  </si>
  <si>
    <t>+998973727625</t>
  </si>
  <si>
    <t>"Чортьоқ архитек қурилиш" МЧЖ</t>
  </si>
  <si>
    <t>Наманган туман тиббиёт бирлашмаси биносини қайта қуриш</t>
  </si>
  <si>
    <t>Махкамов Қосимжон</t>
  </si>
  <si>
    <t>99 534 20 02</t>
  </si>
  <si>
    <t>Чортоқ Баркамол сервис МЧЖ</t>
  </si>
  <si>
    <t>Тўлабоев Фарходжон</t>
  </si>
  <si>
    <t>99-650-35-35</t>
  </si>
  <si>
    <t>“Наманган қурилиш дизайн” МЧЖ</t>
  </si>
  <si>
    <t>Б.Хожиев</t>
  </si>
  <si>
    <t>88-441-45-40</t>
  </si>
  <si>
    <t>Наманган махсус сув пудрат ДУК</t>
  </si>
  <si>
    <t>Мукаммал дизайин лойиха МЧЖ "УФҚ-95" КТИЧСФ</t>
  </si>
  <si>
    <t>Бекзод Абдирахмонов</t>
  </si>
  <si>
    <t>91-950-78-88</t>
  </si>
  <si>
    <t>"Саноат уй-жой қурилиш сервис"  МЧЖ</t>
  </si>
  <si>
    <t>"NISHONMAXSUSSUVPUDRA"</t>
  </si>
  <si>
    <t xml:space="preserve"> "YAKKABOG`-MAXSUSSUVPUDRAT" МЧЖ</t>
  </si>
  <si>
    <t>Алибек Файз Люкс МЧЖ</t>
  </si>
  <si>
    <t xml:space="preserve">
25.03.2021</t>
  </si>
  <si>
    <t xml:space="preserve">
15.04.2021</t>
  </si>
  <si>
    <t>"QURILISH-MONTAJ VA TA'MIRLASH" unitar korxonasi</t>
  </si>
  <si>
    <t>"Вулқон электрон саноат қурилиш" МЧЖ</t>
  </si>
  <si>
    <t>1-сон комплекс қурилиш вамонтаж х/к</t>
  </si>
  <si>
    <t>"Рам буилдинг" МЧЖ</t>
  </si>
  <si>
    <t xml:space="preserve">"Тонг сув қурилиш" МЧЖ </t>
  </si>
  <si>
    <t>"Реал капитал комфорт" МЧЖ</t>
  </si>
  <si>
    <t>"Торсвик конструктион асиа" МЧЖ</t>
  </si>
  <si>
    <t>Қўзиева Гулнорахон Алижоновна</t>
  </si>
  <si>
    <t>94-039-16-46</t>
  </si>
  <si>
    <t xml:space="preserve">"SADDINSO-XABIBULLO" ХК </t>
  </si>
  <si>
    <t>Тожибоева Набирахон Абдуллаевна</t>
  </si>
  <si>
    <t>91-201-66-24</t>
  </si>
  <si>
    <t>"Файз Бинокор Олтиарик" ХКМК</t>
  </si>
  <si>
    <t>Турсунов Фаррухбек Абдулазизович</t>
  </si>
  <si>
    <t>91-687-33-17</t>
  </si>
  <si>
    <t>"FAR JASMIN DISKO SERVIS"  ХК</t>
  </si>
  <si>
    <t xml:space="preserve">Насирдинова Муаттархон Рахимбердиевна </t>
  </si>
  <si>
    <t>91-693-44-34</t>
  </si>
  <si>
    <t>"Водий Юксак Омад  таъмир" МЧЖ</t>
  </si>
  <si>
    <t>Ёрматов Ҳасанхон</t>
  </si>
  <si>
    <t>99 177 71 26</t>
  </si>
  <si>
    <t>"Инвест Жаҳон Қурилиш" МЧЖ</t>
  </si>
  <si>
    <t>Ғиёсов Жохонгир Саминджогович</t>
  </si>
  <si>
    <t>"Саддинсо Хабибулло" Х/К</t>
  </si>
  <si>
    <t>Ражабалиев Шухрат</t>
  </si>
  <si>
    <t>91-145-95-55</t>
  </si>
  <si>
    <t>"Маргилон Бинокор Таъмир Курилиш" МЧЖ</t>
  </si>
  <si>
    <t>Қўқон шаҳридаги вилоят болалар суяк сили санаторияси</t>
  </si>
  <si>
    <t>Ўринов Жамолхон</t>
  </si>
  <si>
    <t>+998905061427</t>
  </si>
  <si>
    <t>"Фарғона Меъмор Қурилиш"  МЧЖ</t>
  </si>
  <si>
    <t>Қўқон шаҳар шошилинч тез-тиббий ёрдам маркази</t>
  </si>
  <si>
    <t>Назиров Б.М</t>
  </si>
  <si>
    <t>93.418-88-75</t>
  </si>
  <si>
    <t xml:space="preserve"> "Водий Юксак Омад Таъмир"  МЧЖ</t>
  </si>
  <si>
    <t>Рахмонов Машхурбек</t>
  </si>
  <si>
    <t>90-584-55-05</t>
  </si>
  <si>
    <t>"296-ХИКМК" МЧЖ</t>
  </si>
  <si>
    <t>Саримсақов Тош мухаммад Хамидович</t>
  </si>
  <si>
    <t>91 662 04 44</t>
  </si>
  <si>
    <t xml:space="preserve">Қўқон шаҳридаги "Мурувват" ногиронлиги бўлган эркаклар учун интернат уйи </t>
  </si>
  <si>
    <t>Солиев Ойбек</t>
  </si>
  <si>
    <t>90-290-6220</t>
  </si>
  <si>
    <t>"Фарғона Кристал Қурилиш" ХК</t>
  </si>
  <si>
    <r>
      <t xml:space="preserve">Ёзёвон туман тиббиёт бирлашмаси 
</t>
    </r>
    <r>
      <rPr>
        <i/>
        <sz val="11"/>
        <rFont val="Times New Roman"/>
        <family val="1"/>
        <charset val="204"/>
      </rPr>
      <t>(30 ўринли шошилинч тез ёрдам, 30 ўринли жарроҳлик бўлимлари)</t>
    </r>
  </si>
  <si>
    <t>М.Юлдашев</t>
  </si>
  <si>
    <t>73-244-57-32</t>
  </si>
  <si>
    <t>"Фар Курилиш Монтаж Инвест"  МЧЖ</t>
  </si>
  <si>
    <t>Камолов Кенжабой</t>
  </si>
  <si>
    <t>+998999874550</t>
  </si>
  <si>
    <t>Данғара сув курулиш инвест</t>
  </si>
  <si>
    <t>+998997559935</t>
  </si>
  <si>
    <t>"Янги кушупир" мчж</t>
  </si>
  <si>
    <t>+998974568573</t>
  </si>
  <si>
    <t>"Хоразм Инвест Холдинг" МЧЖ</t>
  </si>
  <si>
    <t>+998937085585</t>
  </si>
  <si>
    <t>Ботир Техник МЧЖ</t>
  </si>
  <si>
    <t>Юлдашев Шодлик Хаитбаевич</t>
  </si>
  <si>
    <t>Усмонов Қодирали Шералиевич</t>
  </si>
  <si>
    <t>Худайберганов Азамат Оллаберганович</t>
  </si>
  <si>
    <t>+998914333233</t>
  </si>
  <si>
    <t>Хива Пирнахос курилиш Х/К</t>
  </si>
  <si>
    <t>Хазорасп Агрокурилиш Сервис МЧЖ</t>
  </si>
  <si>
    <t>Садуллаев Музаффар Камилович</t>
  </si>
  <si>
    <t>+998977440227</t>
  </si>
  <si>
    <t>Бунёткор МЧЖ</t>
  </si>
  <si>
    <t>Атаджанов Атаджон Дилшодович</t>
  </si>
  <si>
    <t>+998999662242</t>
  </si>
  <si>
    <t>"Боготмахсуссувпудрат" МЧЖ</t>
  </si>
  <si>
    <t>Саидов Нурбек Шухратович</t>
  </si>
  <si>
    <t>+998995090587</t>
  </si>
  <si>
    <t xml:space="preserve">  Оби хаёт инжиниринг МЧЖ</t>
  </si>
  <si>
    <t>+998974933233</t>
  </si>
  <si>
    <t>"Комфорд сув газ курилиш" МЧЖ</t>
  </si>
  <si>
    <t>"Хива Буюк курилишь инвест" МЧЖ</t>
  </si>
  <si>
    <t>" Бунёдкор " МЧЖ</t>
  </si>
  <si>
    <t>Чинобод Курилиш МЧЖ</t>
  </si>
  <si>
    <t>+998970900760</t>
  </si>
  <si>
    <t>Хива нефтигаз қурилиш</t>
  </si>
  <si>
    <t>Мадаминов Ихтиёр Зафарбаевич</t>
  </si>
  <si>
    <t>Қаландаров Қувондиқ Аминбаевич</t>
  </si>
  <si>
    <t>Эшкобилов Хуршид</t>
  </si>
  <si>
    <t>+998-90-523-4288</t>
  </si>
  <si>
    <t>Узун Қурилиш Инвест</t>
  </si>
  <si>
    <t>Бердиев Руслан</t>
  </si>
  <si>
    <t>91.588-54-04</t>
  </si>
  <si>
    <t>"Динара" МЧЖ</t>
  </si>
  <si>
    <t>Менглиев Улугбек</t>
  </si>
  <si>
    <t>99-376-85-09</t>
  </si>
  <si>
    <t>Кафолат-Термиз</t>
  </si>
  <si>
    <t>Абрайкулов Алишер</t>
  </si>
  <si>
    <t>88.550-35-55</t>
  </si>
  <si>
    <t>Хилола-Б</t>
  </si>
  <si>
    <t>Худойназаров Акмал</t>
  </si>
  <si>
    <t>99 217 50 01</t>
  </si>
  <si>
    <t>Асадуллаев Фирдавс Х/К</t>
  </si>
  <si>
    <r>
      <t xml:space="preserve">Музработ туман тиббиёт бирлашмаси 
</t>
    </r>
    <r>
      <rPr>
        <i/>
        <sz val="11"/>
        <color theme="1"/>
        <rFont val="Times New Roman"/>
        <family val="1"/>
        <charset val="204"/>
      </rPr>
      <t>(30 ўринли болалар ва реанимация бўлимлари)</t>
    </r>
  </si>
  <si>
    <r>
      <t xml:space="preserve">Олтинсой туман тиббиёт бирлашмаси 
</t>
    </r>
    <r>
      <rPr>
        <i/>
        <sz val="11"/>
        <color theme="1"/>
        <rFont val="Times New Roman"/>
        <family val="1"/>
        <charset val="204"/>
      </rPr>
      <t xml:space="preserve">(30 ўринли шошилинч тез ёрдам ва 30 ўринли жарроҳлик бўлимлари) </t>
    </r>
  </si>
  <si>
    <r>
      <t xml:space="preserve">Бандихон туман тиббиёт бирлашмаси 
</t>
    </r>
    <r>
      <rPr>
        <i/>
        <sz val="11"/>
        <color theme="1"/>
        <rFont val="Times New Roman"/>
        <family val="1"/>
        <charset val="204"/>
      </rPr>
      <t>(туман марказий шифохонаси ҳудудида қабул диагностика, 15 ўринли шошилинч тез ёрдам, 20 ўринли режали жарроҳлик, 15 ўринли болалар ва 20 ўринли терапия бўлимлари)</t>
    </r>
  </si>
  <si>
    <r>
      <t xml:space="preserve">Ангор туман тиббиёт бирлашмаси 
</t>
    </r>
    <r>
      <rPr>
        <i/>
        <sz val="11"/>
        <color theme="1"/>
        <rFont val="Times New Roman"/>
        <family val="1"/>
        <charset val="204"/>
      </rPr>
      <t>(50 ўринли жарроҳлик, шошилинч тез ёрдам ва 30 ўринли даволаш бўлимлари)</t>
    </r>
  </si>
  <si>
    <r>
      <t xml:space="preserve">Вилоят перинатал маркази
</t>
    </r>
    <r>
      <rPr>
        <i/>
        <sz val="11"/>
        <rFont val="Times New Roman"/>
        <family val="1"/>
        <charset val="204"/>
      </rPr>
      <t>(45 ўринли даволаш бўлими)</t>
    </r>
  </si>
  <si>
    <r>
      <t xml:space="preserve">Фарғона туман тиббиёт бирлашмаси
</t>
    </r>
    <r>
      <rPr>
        <i/>
        <sz val="11"/>
        <rFont val="Times New Roman"/>
        <family val="1"/>
        <charset val="204"/>
      </rPr>
      <t>(30 ўринли шошилинч тез ёрдам ва 30 ўринли жарроҳлик бўлимлари)</t>
    </r>
  </si>
  <si>
    <r>
      <t xml:space="preserve">Чироқчи туман тиббиёт бирлашмаси 
</t>
    </r>
    <r>
      <rPr>
        <i/>
        <sz val="11"/>
        <color theme="1"/>
        <rFont val="Times New Roman"/>
        <family val="1"/>
        <charset val="204"/>
      </rPr>
      <t>(25 ўринли Уйшун филиали)</t>
    </r>
  </si>
  <si>
    <r>
      <t xml:space="preserve">Қарши шаҳридаги </t>
    </r>
    <r>
      <rPr>
        <i/>
        <sz val="11"/>
        <color theme="1"/>
        <rFont val="Times New Roman"/>
        <family val="1"/>
        <charset val="204"/>
      </rPr>
      <t xml:space="preserve">220 ўринли </t>
    </r>
    <r>
      <rPr>
        <sz val="11"/>
        <color theme="1"/>
        <rFont val="Times New Roman"/>
        <family val="1"/>
        <charset val="204"/>
      </rPr>
      <t xml:space="preserve">Республика шошилинч тиббий ёрдам илмий маркази Қашқадарё филиалини реконструкция қилиш </t>
    </r>
  </si>
  <si>
    <r>
      <t xml:space="preserve">Яккабоғ қўрғонидаги туман шифохонаси 
</t>
    </r>
    <r>
      <rPr>
        <i/>
        <sz val="11"/>
        <color theme="1"/>
        <rFont val="Times New Roman"/>
        <family val="1"/>
        <charset val="204"/>
      </rPr>
      <t>(авария ҳолатидаги 65 ўринли туғруқ комплекси)</t>
    </r>
  </si>
  <si>
    <r>
      <t xml:space="preserve">Наманган шаҳар </t>
    </r>
    <r>
      <rPr>
        <i/>
        <sz val="11"/>
        <color theme="1"/>
        <rFont val="Times New Roman"/>
        <family val="1"/>
        <charset val="204"/>
      </rPr>
      <t xml:space="preserve">230 ўринли </t>
    </r>
    <r>
      <rPr>
        <sz val="11"/>
        <color theme="1"/>
        <rFont val="Times New Roman"/>
        <family val="1"/>
        <charset val="204"/>
      </rPr>
      <t>2-сон туғруқ мажмуаси</t>
    </r>
  </si>
  <si>
    <r>
      <t xml:space="preserve">Наманган шаҳар </t>
    </r>
    <r>
      <rPr>
        <i/>
        <sz val="11"/>
        <color theme="1"/>
        <rFont val="Times New Roman"/>
        <family val="1"/>
        <charset val="204"/>
      </rPr>
      <t xml:space="preserve">300 ўринли </t>
    </r>
    <r>
      <rPr>
        <sz val="11"/>
        <color theme="1"/>
        <rFont val="Times New Roman"/>
        <family val="1"/>
        <charset val="204"/>
      </rPr>
      <t>болалар шифохонаси (даволаш бўлими)</t>
    </r>
  </si>
  <si>
    <r>
      <t xml:space="preserve">Каттақўрғон туман тиббиёт бирлашмаси </t>
    </r>
    <r>
      <rPr>
        <i/>
        <sz val="11"/>
        <color theme="1"/>
        <rFont val="Times New Roman"/>
        <family val="1"/>
        <charset val="204"/>
      </rPr>
      <t xml:space="preserve">
(30 ўринли жарроҳлик, 110 ўринли туғруқ, қабул диагностика ва бошқа ёрдамчи бинолар)</t>
    </r>
  </si>
  <si>
    <r>
      <t xml:space="preserve">Республика болалар юқумли касалликлар шифохонаси 
</t>
    </r>
    <r>
      <rPr>
        <i/>
        <sz val="11"/>
        <color theme="1"/>
        <rFont val="Times New Roman"/>
        <family val="1"/>
        <charset val="204"/>
      </rPr>
      <t>(120 ўринли даволаш бўлими)</t>
    </r>
  </si>
  <si>
    <r>
      <t xml:space="preserve">Бух.обл Бух.ш 7-кичик худудида </t>
    </r>
    <r>
      <rPr>
        <i/>
        <sz val="11"/>
        <color theme="1"/>
        <rFont val="Times New Roman"/>
        <family val="1"/>
        <charset val="204"/>
      </rPr>
      <t xml:space="preserve">250 катновга </t>
    </r>
    <r>
      <rPr>
        <sz val="11"/>
        <color theme="1"/>
        <rFont val="Times New Roman"/>
        <family val="1"/>
        <charset val="204"/>
      </rPr>
      <t>мулжалланган янги оилавий поликлиника биносини куриш (29.01.2021й 02РА 1-2003 4-сон ташриф)</t>
    </r>
  </si>
  <si>
    <r>
      <t xml:space="preserve">Охангарон туман тиббиёт бирлашмаси
</t>
    </r>
    <r>
      <rPr>
        <i/>
        <sz val="11"/>
        <rFont val="Times New Roman"/>
        <family val="1"/>
        <charset val="204"/>
      </rPr>
      <t>(Нурабод қўрғонида жойлашган собиқ реабилитация шифохонасини 20 ўринли шошилинч тез ёрдам, 20 ўринли жарроҳлик, 20 ўринли болалар, 55 ўринли туғруқ, 25 ўринли терапия бўлимлари биносини ва туман Санитария эпедимиология хизмати биноси)</t>
    </r>
  </si>
  <si>
    <r>
      <t xml:space="preserve">Чирчиқ шаҳар тиббиёт бирлашмаси 
</t>
    </r>
    <r>
      <rPr>
        <i/>
        <sz val="11"/>
        <rFont val="Times New Roman"/>
        <family val="1"/>
        <charset val="204"/>
      </rPr>
      <t>(қабул диагностика бўлими, ошхона, кир ювиш, лабаратория, ички дорихона, оқова сув тизими ҳамда бошқалар)</t>
    </r>
  </si>
  <si>
    <r>
      <t xml:space="preserve">Янгийўл шаҳар тиббиёт бирлашмаси
</t>
    </r>
    <r>
      <rPr>
        <i/>
        <sz val="11"/>
        <rFont val="Times New Roman"/>
        <family val="1"/>
        <charset val="204"/>
      </rPr>
      <t>(кир ювиш, морг ҳамда бошқалар)</t>
    </r>
  </si>
  <si>
    <r>
      <t xml:space="preserve">Қибрай туманида </t>
    </r>
    <r>
      <rPr>
        <i/>
        <sz val="11"/>
        <rFont val="Times New Roman"/>
        <family val="1"/>
        <charset val="204"/>
      </rPr>
      <t xml:space="preserve">100 ўринга </t>
    </r>
    <r>
      <rPr>
        <sz val="11"/>
        <rFont val="Times New Roman"/>
        <family val="1"/>
        <charset val="204"/>
      </rPr>
      <t>мўлжаланган иқтисослаштирилган шифохона қуриш</t>
    </r>
  </si>
  <si>
    <t>Марупов Санжар</t>
  </si>
  <si>
    <t>88-810-51-30</t>
  </si>
  <si>
    <t>"Проф-Гроф" МЧЖ</t>
  </si>
  <si>
    <t>Ministry of Health</t>
  </si>
  <si>
    <t>JSC "Uzsuvtaminot"</t>
  </si>
  <si>
    <t>Ministry of Water Resources</t>
  </si>
  <si>
    <t>Ministry of Preschool and School Education</t>
  </si>
  <si>
    <t>Ministry of Transport</t>
  </si>
  <si>
    <t>Construction of a new building</t>
  </si>
  <si>
    <t>Renovation of an existing building</t>
  </si>
  <si>
    <t>Renovation of existing building and Construction of additional new building</t>
  </si>
  <si>
    <t>State enterprise</t>
  </si>
  <si>
    <t>Private entity</t>
  </si>
  <si>
    <t>Andijan</t>
  </si>
  <si>
    <t>Bukhara</t>
  </si>
  <si>
    <t>Jizzakh</t>
  </si>
  <si>
    <t>Kashkadarya</t>
  </si>
  <si>
    <t>Navoi</t>
  </si>
  <si>
    <t>Namangan</t>
  </si>
  <si>
    <t>Samarkand</t>
  </si>
  <si>
    <t>Surkhandarya</t>
  </si>
  <si>
    <t>Sirdarya</t>
  </si>
  <si>
    <t>Tashkent city</t>
  </si>
  <si>
    <t>Tashkent region</t>
  </si>
  <si>
    <t>Kharezm</t>
  </si>
  <si>
    <t>Fergana</t>
  </si>
  <si>
    <t>Republic of Karakalpakistan</t>
  </si>
  <si>
    <t>Name of the project</t>
  </si>
  <si>
    <t>Project summary</t>
  </si>
  <si>
    <t>Located in rural/urban area</t>
  </si>
  <si>
    <t>Construction / Reconstruction</t>
  </si>
  <si>
    <t>Kindergarten No. 8 in Yangiyol city</t>
  </si>
  <si>
    <t>Kindergarten No. 33 in Chirchik city</t>
  </si>
  <si>
    <t>Kindergarten No. 5 in Chirchik city</t>
  </si>
  <si>
    <t>Kindergarten No. 22 in Jondor district</t>
  </si>
  <si>
    <t>Kindergarten No. 18 in Bukhara district</t>
  </si>
  <si>
    <t>Шермаматов Рустам</t>
  </si>
  <si>
    <t>+99891-501-41-11</t>
  </si>
  <si>
    <t>"Гулистон Мадад Қурилиш" МЧЖ</t>
  </si>
  <si>
    <t>"O'rta sharq invest" MCHJ</t>
  </si>
  <si>
    <t>"Majestik Fngineer" MCHJ</t>
  </si>
  <si>
    <r>
      <t xml:space="preserve">Вилоят кўп тармоқли тиббиёт маркази 
</t>
    </r>
    <r>
      <rPr>
        <i/>
        <sz val="11"/>
        <rFont val="Times New Roman"/>
        <family val="1"/>
        <charset val="204"/>
      </rPr>
      <t>(63 ўринли даволаш бўлими)</t>
    </r>
  </si>
  <si>
    <t>"Shoxruh-Demirbek" MChJ</t>
  </si>
  <si>
    <t>"Шохрух-Демирбек" МЧЖ</t>
  </si>
  <si>
    <t>26.04.2021</t>
  </si>
  <si>
    <t>31.03.2022</t>
  </si>
  <si>
    <t>19.04.2021</t>
  </si>
  <si>
    <t>31.12.2021</t>
  </si>
  <si>
    <t>"Сувомбор курилиш" ХК</t>
  </si>
  <si>
    <t>Reconstruction of "Navroz", "Jizmandi" and "Kahramon" canals in Bukhara district</t>
  </si>
  <si>
    <t>Reconstruction of "KBMK" canal in Qarovulbozor district</t>
  </si>
  <si>
    <t>Зафар Хабибуллаев</t>
  </si>
  <si>
    <t>(+998 99 802 77 06)</t>
  </si>
  <si>
    <t>"Adxambek Qurilish Omad" МЧЖ</t>
  </si>
  <si>
    <t>"Gallant Building " МЧЖ</t>
  </si>
  <si>
    <t>Салабаев Уткиржон расулжонович</t>
  </si>
  <si>
    <t>90-906 90 27</t>
  </si>
  <si>
    <t>Градус Билдинг</t>
  </si>
  <si>
    <t>No.</t>
  </si>
  <si>
    <t>Responsible ministry</t>
  </si>
  <si>
    <t>Area (region) where the project has been implemented</t>
  </si>
  <si>
    <t>Name of the responsible employee</t>
  </si>
  <si>
    <t>Phone number of the responsible employee</t>
  </si>
  <si>
    <t>Project start date</t>
  </si>
  <si>
    <t>Project end date</t>
  </si>
  <si>
    <t>Name of general contracting organization</t>
  </si>
  <si>
    <t>General contracting organization type</t>
  </si>
  <si>
    <t>Number of jobs before the implementation of the project</t>
  </si>
  <si>
    <t>Type of construction work done</t>
  </si>
  <si>
    <t>Before (m2)</t>
  </si>
  <si>
    <t>After (m2)</t>
  </si>
  <si>
    <t xml:space="preserve">Number of new seats created as a result of the project </t>
  </si>
  <si>
    <t>Number of new/additional teachers and technical staff (non-teaching) employed as a result of the project</t>
  </si>
  <si>
    <t>New teachers</t>
  </si>
  <si>
    <t>New technical staff</t>
  </si>
  <si>
    <t>Number of boys and girls currently studying</t>
  </si>
  <si>
    <t>Boys</t>
  </si>
  <si>
    <t>Girls</t>
  </si>
  <si>
    <t>Number of students graduated from school until June 1, 2024 since the project started</t>
  </si>
  <si>
    <t>Number of people directly benefiting from the implementation of the project (population of the area)</t>
  </si>
  <si>
    <t>SCHOOLS</t>
  </si>
  <si>
    <t>Number of renovated seats as a result of the project</t>
  </si>
  <si>
    <t>Reconstruction</t>
  </si>
  <si>
    <t>Rural</t>
  </si>
  <si>
    <t>Urban</t>
  </si>
  <si>
    <t>Construction</t>
  </si>
  <si>
    <t>School No. 10 in Qibray district</t>
  </si>
  <si>
    <t>School No. 38 in Zangiota district</t>
  </si>
  <si>
    <t>School No. 8 in Ahangaron district</t>
  </si>
  <si>
    <t>School No. 2 in Ahangaron city</t>
  </si>
  <si>
    <t>School No. 23 in Tashkent district</t>
  </si>
  <si>
    <t>School No. 4 in Bekabad city</t>
  </si>
  <si>
    <t>School No. 39 in Bukhara city</t>
  </si>
  <si>
    <t>New Boarding school No. 17 in Kagan city</t>
  </si>
  <si>
    <t>School No. 20 in Khatirchi district</t>
  </si>
  <si>
    <r>
      <t xml:space="preserve">New secondary school </t>
    </r>
    <r>
      <rPr>
        <i/>
        <sz val="11"/>
        <color theme="1"/>
        <rFont val="Times New Roman"/>
        <family val="1"/>
        <charset val="204"/>
      </rPr>
      <t>(315 seats)</t>
    </r>
    <r>
      <rPr>
        <sz val="11"/>
        <color theme="1"/>
        <rFont val="Times New Roman"/>
        <family val="1"/>
        <charset val="204"/>
      </rPr>
      <t xml:space="preserve"> in Shaydo mahalla of Sharikhan district</t>
    </r>
  </si>
  <si>
    <t>School No. 3 in Pakhtaabad district</t>
  </si>
  <si>
    <t>School No. 6 in Shahrihan district</t>
  </si>
  <si>
    <t>School No. 53 in Kungrad district</t>
  </si>
  <si>
    <t>School No. 38 in Chimbay district</t>
  </si>
  <si>
    <t>School No. 13 in Ellikkala district</t>
  </si>
  <si>
    <t>School No. 2 in Nurabad district</t>
  </si>
  <si>
    <t>School 73 in Gallaorol district</t>
  </si>
  <si>
    <t>School No. 8 in Uchkurgan district</t>
  </si>
  <si>
    <t>New school in "Istiqbol" neighbourhood in Namangan city</t>
  </si>
  <si>
    <t>School No. 39 in Baghdad district</t>
  </si>
  <si>
    <t>School No. 19 in Baghdad district</t>
  </si>
  <si>
    <t>School No. 23 in Furqat district</t>
  </si>
  <si>
    <t>School No. 56 in Baghdad district</t>
  </si>
  <si>
    <t>School No. 4 in Koshkopir district</t>
  </si>
  <si>
    <t>School No. 47 in Urgench district</t>
  </si>
  <si>
    <t>School No. 2 in Boyovut district</t>
  </si>
  <si>
    <t>Secondary school No. 3 in Shahrihan district</t>
  </si>
  <si>
    <t>School No. 22 in Chartak district</t>
  </si>
  <si>
    <t>School No. 29 in Namangan city</t>
  </si>
  <si>
    <t>School No. 14 in Khazarasp district</t>
  </si>
  <si>
    <t>School 203 in Uchtepa district</t>
  </si>
  <si>
    <t>School No. 23 in Yashnabad district</t>
  </si>
  <si>
    <t>School No. 61 in Yashnabad district</t>
  </si>
  <si>
    <t>Construction of a new kindergarten with 180 seats in "Toytepa" neighbourhood in Nurafshon, which will increase the level of coverage of children up to 3-6 years of age and create additional jobs</t>
  </si>
  <si>
    <t>Reconstruction of kindergarten No. 18 in Bukhara district, which will increase the level of coverage of children up to 3-6 years old and create additional jobs</t>
  </si>
  <si>
    <t>Construction of a new kindergarten with 120 beds in "New Zarafshon" neighbourhood in Zarafshon, which will increase the level of coverage of children up to 3-6 years of age and create additional jobs</t>
  </si>
  <si>
    <t>Reconstruction of the former kindergarten No. 25 in Balıkchi district, which will increase the level of coverage of children up to 3-6 years of age and create additional jobs</t>
  </si>
  <si>
    <t>Reconstruction of kindergarten No. 15 in Samarkand district, which will increase the level of coverage of children up to 3-6 years of age and create additional jobs</t>
  </si>
  <si>
    <t>Reconstruction of kindergarten No. 3 in Bakhmal district, which will increase the level of coverage of children up to 3-6 years of age and create additional jobs</t>
  </si>
  <si>
    <t>Reconstruction of kindergarten No. 14 in Guzor district, which will increase the level of coverage of children up to 3-6 years of age and create additional jobs</t>
  </si>
  <si>
    <t>Reconstruction of kindergarten No. 26 in Karshi district, which will increase the level of coverage of children up to 3-6 years old and create extra jobs</t>
  </si>
  <si>
    <t>Reconstruction of kindergarten No. 7 in Hazorasp district, which will increase the level of coverage of children up to 3-6 years old and create additional jobs</t>
  </si>
  <si>
    <t>New kindergarten in "Toytepa" neighbourhood in Nurafshon</t>
  </si>
  <si>
    <t>Reconstruction of kindergarten No. 33 in Chirchik city, which will increase the level of coverage of children up to 3-6 years of age and create additional jobs</t>
  </si>
  <si>
    <t>Reconstruction of kindergarten No. 8 in Yangiyol city, in which the level of coverage of children aged 3-6 years will be increased and additional jobs will be created</t>
  </si>
  <si>
    <t>Reconstruction of kindergarten No. 5 in Chirchik city, where the level of coverage of children up to 3-6 years of age will be increased and additional jobs will be created</t>
  </si>
  <si>
    <t>Reconstruction of kindergarten No. 22 in Jondor district, which will increase the level of coverage of children up to 3-6 years old and create additional jobs</t>
  </si>
  <si>
    <t>New kindergarten in "New Zarafshon" neighbourhood in Zarafshon</t>
  </si>
  <si>
    <t>Kindergarten No. 14 in Andijan district</t>
  </si>
  <si>
    <t>Kindergarten No. 38 in Andijan city</t>
  </si>
  <si>
    <t>Kindergarten No. 35 in Andijan city</t>
  </si>
  <si>
    <t>Kindergarten No. 24 in Pakhtaabad district</t>
  </si>
  <si>
    <t>Reconstruction of kindergarten No. 14 in Andijan district, the level of coverage of children up to 3-6 years will be increased and additional jobs will be created</t>
  </si>
  <si>
    <t>Reconstruction of kindergarten No. 38 in the Andijan city, in which the level of coverage of children aged 3-6 years will be increased and additional jobs will be created</t>
  </si>
  <si>
    <t>Reconstruction of kindergarten No. 24 in Pakhtaabad District, which will increase the level of coverage of children up to 3-6 years of age and create additional jobs</t>
  </si>
  <si>
    <t>Reconstruction of kindergarten No. 35 in Andijan city, in which the level of coverage of children aged 3-6 years will be increased and additional jobs will be created</t>
  </si>
  <si>
    <t>Kindergarten No. 25 in Balıkchi district</t>
  </si>
  <si>
    <t>New kindergarten in "Buzotov" neighbourhood in Bozotov district</t>
  </si>
  <si>
    <t>Construction of a new 120-seat kindergarten in Bozotov district, which will increase the level of coverage of children up to 3-6 years of age and create additional jobs</t>
  </si>
  <si>
    <t>New kindergarten in "Kumjikkin" OFY in Khojaly district</t>
  </si>
  <si>
    <t>Construction of a new kindergarten with 90 searts in "Kumjikkin" neighbourhood in Khojaly district, which will increase the level of coverage of children aged 3-6 years and create additional jobs</t>
  </si>
  <si>
    <t>Kindergarten No. 13 in "Ghazira" neighbourhood in Jomboy district</t>
  </si>
  <si>
    <t>Reconstruction of non-functioning kindergarten No. 13 in "Gazira" neighbourhood in Jomboy district, which will increase the level of coverage of children up to 3-6 years of age and create additional jobs</t>
  </si>
  <si>
    <t>Kindergarten No. 15 in Samarkand district</t>
  </si>
  <si>
    <t>Kindergarten No. 3 in Bakhmal district</t>
  </si>
  <si>
    <t>Reconstruction of kindergarten located in Guliston neighbourhood in Zomin district, where the level of coverage of children up to 3-6 years will be increased and additional jobs will be created.</t>
  </si>
  <si>
    <t>Kindergarten located in Guliston neighbourhood in Zomin district</t>
  </si>
  <si>
    <t>New kindergarten in Chindovul neighbourhood in Kosonsoy district</t>
  </si>
  <si>
    <t>New kindergarten in the territory of Tegirmonboshi neighbourhood, Mingbuloq district</t>
  </si>
  <si>
    <t>New kindergarten in Ovchibulok neighbourhood in Uychi district</t>
  </si>
  <si>
    <t>New kindergarten in Istiqbol neighbourhood in Namangan city</t>
  </si>
  <si>
    <t>New kindergarten in Ibrat neighbourhood in Namangan district</t>
  </si>
  <si>
    <t>Construction of a new kindergarten with 180 seats in "Chindovul" neighbourhood in Kosonsoi district, which will increase the level of coverage of children aged 3-6 and create additional jobs</t>
  </si>
  <si>
    <t>Construction of a new kindergarten with 240 seats in "Tegirmonboshi" neighbourhood in Mingbuloq district, which will increase the level of coverage of children aged 3-6 years and create additional jobs</t>
  </si>
  <si>
    <t>Construction of a new kindergarten with 180 seats in "Ovchibulok" neighbourhood in Uychi district, which will increase the level of coverage of children aged 3-6 and create additional jobs</t>
  </si>
  <si>
    <t>New kindergarten in Sumalak Guzari neighbourhood in Namangan city</t>
  </si>
  <si>
    <t>Construction of a new kindergarten with 180 seats in Sumalak Guzari neighbourhood in Namangan city, which will increase the level of coverage of children aged 3-6 years and create additional jobs</t>
  </si>
  <si>
    <t>Construction of a new kindergarten with 150 seats in "Istiqbol" neighbourhood in Namangan city, which will increase the level of coverage of children aged 3-6 years and create additional jobs</t>
  </si>
  <si>
    <t>Construction of a new kindergarten with 180 seats in "Ibrat" neighbourhood in Namangan district, which will increase the level of coverage of children aged 3-6 and create additional jobs</t>
  </si>
  <si>
    <t>Kindergarten No. 14 in Guzor district</t>
  </si>
  <si>
    <t>Kindergarten No. 26 in Karshi district</t>
  </si>
  <si>
    <t>New kindergarten in "Sarikanda" neighbourhood in Sokh district</t>
  </si>
  <si>
    <t>Construction of a new kindergarten with 180 seats in "Sarikanda" neighbourhood of Sokh district, which will increase the level of coverage of children aged 3-6 and create additional jobs</t>
  </si>
  <si>
    <t>Kindergarten No. 26 in Margilan city</t>
  </si>
  <si>
    <t>Reconstruction of kindergarten No. 26 in Margilon city, in which the level of coverage of children up to 3-6 years old will be increased and additional jobs will be created</t>
  </si>
  <si>
    <t>Kindergarten No. 11 in Kokand city</t>
  </si>
  <si>
    <t>Reconstruction of kindergarten No. 11 in Kokand city, which will increase the level of coverage of children up to 3-6 years of age and create additional jobs</t>
  </si>
  <si>
    <t>Kindergarten No. 16 in Khiva city</t>
  </si>
  <si>
    <t>Reconstruction of non-functioning kindergarten No. 16 in Khiva city, in which the level of coverage of children up to 3-6 years of age will be increased and additional jobs will be created</t>
  </si>
  <si>
    <t>Kindergarten No. 7 in Hazorasp district</t>
  </si>
  <si>
    <t>Kindergarten No. 17 in Sariosia district</t>
  </si>
  <si>
    <t>Reconstruction of kindergarten No. 17 in the Saryosi district, which will increase the level of coverage of children up to 3-6 years old and create additional jobs</t>
  </si>
  <si>
    <t>New kindergarten in "Mirzo Ulugbek" neighbourhood in Mirzaabad district</t>
  </si>
  <si>
    <t>Construction of a new kindergarten with 150 seats in Mirzo Ulugbek neighbourhood in Mirzaabad district, which will increase the level of coverage of children up to 3-6 years old and create additional jobs</t>
  </si>
  <si>
    <t>Kindergarten No. 29 in "Dostlik" neighbourhood in Boyovut district</t>
  </si>
  <si>
    <t>Reconstruction of kindergarten No. 29 in "Dostlik" neighbourhood in Boyovut district, the level of coverage of children up to 3-6 years will be increased and additional jobs will be created</t>
  </si>
  <si>
    <t>Reconstruction of the 10th school in Qibray district, which will increase the level of coverage of students of grades 1-11 at the age of 7-18 and create additional jobs</t>
  </si>
  <si>
    <t>Reconstruction of school 38 in Zangiota district, which will increase the level of coverage of students of grades 1-11 at the age of 7-18 and create additional jobs</t>
  </si>
  <si>
    <t>Reconstruction of the 8th school in Ohangaron district, which will increase the level of coverage of students of grades 1-11 at the age of 7-18 and create additional jobs</t>
  </si>
  <si>
    <t>Reconstruction of the 2nd school in Ohangaron, which will increase the level of coverage of students of grades 1-11 at the age of 7-18 and create additional jobs</t>
  </si>
  <si>
    <t>Reconstruction of the 23rd school in Tashkent district, which will increase the level of coverage of students of grades 1-11 at the age of 7-18 and create additional jobs</t>
  </si>
  <si>
    <t>Reconstruction of the 4th school in Bekobad city, which will increase the level of coverage of students of grades 1-11 at the age of 7-18 and create additional jobs</t>
  </si>
  <si>
    <t>Reconstruction of the 39th school in Bukhara, which will increase the level of coverage of students of grades 1-11 at the age of 7-18 and create additional jobs</t>
  </si>
  <si>
    <t>Construction of a new boarding school No. 17 in Kogon city, which will increase the level of coverage of students of grades 1-11 at the age of 7-18 and create additional jobs</t>
  </si>
  <si>
    <t>Reconstruction of the 20th school in Khatirchi district, which will increase the level of coverage of students of grades 1-11 at the age of 7-18 and create additional jobs</t>
  </si>
  <si>
    <r>
      <t xml:space="preserve">A new general education school </t>
    </r>
    <r>
      <rPr>
        <i/>
        <sz val="11"/>
        <color theme="1"/>
        <rFont val="Times New Roman"/>
        <family val="1"/>
        <charset val="204"/>
      </rPr>
      <t>(with 315 seats)</t>
    </r>
    <r>
      <rPr>
        <sz val="11"/>
        <color theme="1"/>
        <rFont val="Times New Roman"/>
        <family val="1"/>
        <charset val="204"/>
      </rPr>
      <t xml:space="preserve"> will be built in the "Shaydo" neighborhood of Sharikhan district., which will increase the level of coverage of students of grades 1-11 at the age of 7-18 and create additional jobs</t>
    </r>
  </si>
  <si>
    <t>The 3rd school in Pakhtaabad district will be reconstructed, which will increase the level of coverage of students of grades 1-11 at the age of 7-18 and create additional jobs</t>
  </si>
  <si>
    <t>Reconstruction of the 6th school in Shahrikhan district, which will increase the level of coverage of students of grades 1-11 at the age of 7-18 and create additional jobs</t>
  </si>
  <si>
    <r>
      <t xml:space="preserve">Reconstruction of secondary school No. 3 in Shahrikhan district with </t>
    </r>
    <r>
      <rPr>
        <i/>
        <sz val="11"/>
        <color theme="1"/>
        <rFont val="Times New Roman"/>
        <family val="1"/>
        <charset val="204"/>
      </rPr>
      <t>new building for 640 seats</t>
    </r>
    <r>
      <rPr>
        <sz val="11"/>
        <color theme="1"/>
        <rFont val="Times New Roman"/>
        <family val="1"/>
        <charset val="204"/>
      </rPr>
      <t>, which will increase the level of coverage of students of grades 1-11 at the age of 7-18 and create additional jobs</t>
    </r>
  </si>
  <si>
    <t>Reconstruction of the 53rd school in Kunirot district, which will increase the level of coverage of students of grades 1-11 at the age of 7-18 and create additional jobs</t>
  </si>
  <si>
    <t>Reconstruction of school 38 in Chimboy district, which will increase the level of coverage of students of grades 1-11 at the age of 7-18 and create additional jobs</t>
  </si>
  <si>
    <t>Reconstruction of the 2nd school in Nurabad district, which will increase the level of coverage of students of grades 1-11 at the age of 7-18 and create additional jobs</t>
  </si>
  <si>
    <t>Reconstruction of school 73 in Gallaorol district, which will increase the level of coverage of students of grades 1-11 at the age of 7-18 and create additional jobs</t>
  </si>
  <si>
    <t>Reconstruction of the 8th school in Uchkurgan district, which will increase the level of coverage of students of grades 1-11 at the age of 7-18 and create additional jobs</t>
  </si>
  <si>
    <t>Reconstruction of school 22 in Chortoq district with new building for 270 seats, which will increase the level of coverage of students of grades 1-11 at the age of 7-18 and create additional jobs</t>
  </si>
  <si>
    <t>Reconstruction of the 29th school in the city of Namangan with new building for 330 seats, which will increase the level of coverage of students of grades 1-11 at the age of 7-18 and create additional jobs</t>
  </si>
  <si>
    <t>Construction of a new school for "Istiqbol" MFY in the city of Namangan, which will increase the level of coverage of students of grades 1-11 at the age of 7-18 and create additional jobs</t>
  </si>
  <si>
    <t>Reconstruction of school No. 39 in Baghdad district, which will increase the level of coverage of students of grades 1-11 at the age of 7-18 and create additional jobs</t>
  </si>
  <si>
    <t>Reconstruction of school No. 19 in Baghdad district, which will increase the level of coverage of students of grades 1-11 at the age of 7-18 and create additional jobs</t>
  </si>
  <si>
    <t>Reconstruction of school No. 23 in Furqat district, which will increase the level of coverage of students of grades 1-11 at the age of 7-18 and create additional jobs</t>
  </si>
  <si>
    <t>Reconstruction of school No. 56 in Baghdad district, which will increase the level of coverage of students of grades 1-11 at the age of 7-18 and create additional jobs</t>
  </si>
  <si>
    <t>Reconstruction of the 4th school in Koshkopir district, which will increase the level of coverage of students of grades 1-11 at the age of 7-18 and create additional jobs</t>
  </si>
  <si>
    <t>Reconstruction of school 47 in Urganch district, which will increase the level of coverage of students of grades 1-11 at the age of 7-18 and create additional jobs</t>
  </si>
  <si>
    <t>Reconstruction of the 14th school in Khazorasp district with new building for 480 seats, which will increase the level of coverage of students of grades 1-11 at the age of 7-18 and create additional jobs</t>
  </si>
  <si>
    <t>Reconstruction of the 2nd school in Boyovut district, which will increase the level of coverage of students of grades 1-11 at the age of 7-18 and create additional jobs</t>
  </si>
  <si>
    <t>Reconstruction of school 203 in Uchtepa district with new building for 420 seats, which will increase the level of coverage of students of grades 1-11 at the age of 7-18 and create additional jobs</t>
  </si>
  <si>
    <t>Reconstruction of school 23 in Yashnabad district with new building for 540 seats, which will increase the level of coverage of students of grades 1-11 at the age of 7-18 and create additional jobs</t>
  </si>
  <si>
    <t>Reconstruction of school 61 in Yashnabad district with new building for 540 seats, which will increase the level of coverage of students of grades 1-11 at the age of 7-18 and create additional jobs</t>
  </si>
  <si>
    <t>KINDERGARTENS</t>
  </si>
  <si>
    <t>Regional Children's Bone Tuberculosis Sanatorium in Kokand city</t>
  </si>
  <si>
    <t>Type of medical establishment</t>
  </si>
  <si>
    <t>Multidisciplinary hospital</t>
  </si>
  <si>
    <t>Infectious diseases hospital</t>
  </si>
  <si>
    <t>Tuberculosis dispensary</t>
  </si>
  <si>
    <t>Hospital for disabled people</t>
  </si>
  <si>
    <t>Children's Infectious Diseases hospital</t>
  </si>
  <si>
    <t xml:space="preserve">Children's multidisciplinary hospital </t>
  </si>
  <si>
    <t>Maternity &amp; perinatal hospitals</t>
  </si>
  <si>
    <t>Emergency medical center</t>
  </si>
  <si>
    <t>Children's Bone Tuberculosis Sanatorium</t>
  </si>
  <si>
    <t>Tashkent District Hospital</t>
  </si>
  <si>
    <t>Tuberculosis Dispensary of Tashkent region</t>
  </si>
  <si>
    <t>Yangiyol City Hospital</t>
  </si>
  <si>
    <t>Chirchik City Hospital</t>
  </si>
  <si>
    <t>Okhangaron District Hospital</t>
  </si>
  <si>
    <t>Bekabad City Hospital</t>
  </si>
  <si>
    <t>New family polyclinic building in the 7th sub-district of Bukhara city</t>
  </si>
  <si>
    <t>New 100-bed specialized hospital in Kibrai district</t>
  </si>
  <si>
    <t>New building for family polyclinic No. 8 in Andijan city</t>
  </si>
  <si>
    <t>Khojaabad District Hospital</t>
  </si>
  <si>
    <t>Kurgontepa District Hospital</t>
  </si>
  <si>
    <t>Merhamat District Hospital</t>
  </si>
  <si>
    <t>Boarding house "Chuama "Muruvat" for women with disabilities in Izboskan district</t>
  </si>
  <si>
    <t>Regional Rehabilitation and Prosthetic Center for People with Disabilities</t>
  </si>
  <si>
    <t>Bozatov District Hospital</t>
  </si>
  <si>
    <t>Republican Hospital for Children's Infectious Diseases</t>
  </si>
  <si>
    <t>Kattakurgan District Hospital</t>
  </si>
  <si>
    <t>Samarkand District Hospital</t>
  </si>
  <si>
    <t>Zomin District Hospital</t>
  </si>
  <si>
    <t>Children's Hospital in Namangan city</t>
  </si>
  <si>
    <t>Maternity complex No. 2 in Namangan city</t>
  </si>
  <si>
    <t>Namangan District Hospital</t>
  </si>
  <si>
    <t>District hospital in Yakkabog fortress</t>
  </si>
  <si>
    <t>New Uyshun branch of Chirakchi District Hospital</t>
  </si>
  <si>
    <t>Kashkadarya branch of the Republican Emergency Medical Research Center in Karshi city</t>
  </si>
  <si>
    <t>Kokand City Emergency Medical Center</t>
  </si>
  <si>
    <t>Fergana District Hospital</t>
  </si>
  <si>
    <t>Yozhiovon District Hospital</t>
  </si>
  <si>
    <t>Boarding house "Muruvat" for men with disabilities in Kokand city</t>
  </si>
  <si>
    <t>Regional perinatal center</t>
  </si>
  <si>
    <t>Angor District Hospital</t>
  </si>
  <si>
    <t>Bandikhon District Hospital</t>
  </si>
  <si>
    <t>Oltinsoy District Hospital</t>
  </si>
  <si>
    <t>Muzrabot District Hospital</t>
  </si>
  <si>
    <t>Regional multidisciplinary medical center</t>
  </si>
  <si>
    <t>Reconstruction of reception, diagnostic department, planned surgery and operation departments of the Tashkent Regional Tuberculosis Dispensary</t>
  </si>
  <si>
    <t>Reconstruction of the laundry, morgue and other departments of the Yangiyol City Hospital</t>
  </si>
  <si>
    <t>Reconstruction of reception, diagnostic department, kitchen, laundry, laboratory, internal pharmacy, waste water systems and other departments of Chirchik City Hospital</t>
  </si>
  <si>
    <t>Construction of a new family polyclinic building with 8 fixed beds and 250 ambulator beds in the 7th sub-district of Bukhara city</t>
  </si>
  <si>
    <t>Reconstruction of the building of the multidisciplinary central polyclinic with 150 ambulator beds and children's department with 50 fixed beds in Zomin District Hospital</t>
  </si>
  <si>
    <t>Reconstruction of Kokand emergency medical center increasing fixed beds from 110 to 237</t>
  </si>
  <si>
    <t>Reconstruction of boarding house for men with disabilities "Muruvat" in Kokand city increasing fixed beds from 300 to 355</t>
  </si>
  <si>
    <t>Construction of a 100-fixed-bed specialized hospital in Kibrai district</t>
  </si>
  <si>
    <t>Reconstruction of the former rehabilitation hospital located in the Nurabad fortress as a new district hospital with 20-fixed-bed emergency ambulance, 20-fixed-bed surgery, 20-fixed-bed pediatric, 55-fixed-bed maternity and 25-fixed-bed therapy departments</t>
  </si>
  <si>
    <t>Reconstruction of the 45-fixed-bed department of infectious diseases of Bekabad City Hospital</t>
  </si>
  <si>
    <t>Reconstruction of 5-fixed-bed surgery, 15-fixed-bed emergency, 45-fixed-bed therapy and 35-fixed-bed pediatric departments in Khojaabad District Hospital</t>
  </si>
  <si>
    <t>Relocating the 50-fixed-bed children's department and admission diagnostic department to the building of the former maternity complex of Kurgontepa District Hospital</t>
  </si>
  <si>
    <t>Reconstruction of 200-fixed-bed boarding house Chuama "Muruvat" for women with disabilities in Izboskan district with additional 145 fixed beds</t>
  </si>
  <si>
    <t>Reconstruction of 50-fixed-bed children's department with additional buildings for extra 50 fixed beds in Merhamat District Hospital</t>
  </si>
  <si>
    <t>Reconstruction of 50-fixed-bed Regional Rehabilitation and Prosthetic Center for Persons with Disabilities with additional 100 fixed beds</t>
  </si>
  <si>
    <t>Reconstruction of a multidisciplinary central polyclinic with 100 ambulator beds, 15-fixed-bed emergency, 5-fixed-bed infectious diseases, 10-fixed-bed therapy, 10-fixed-bed maternity and 5-fixed-bed children's departments as well as district sanitary epidemiology service in Bozatov District Hospital</t>
  </si>
  <si>
    <t xml:space="preserve">Reconstruction of 120-fixed-bed treatment department of Children's Infectious Diseases Hospital of the Republic of Karakalpakstan </t>
  </si>
  <si>
    <t>Reconstruction of the 30-fixed-bed surgery and 110-fixed-bed maternity departments, admission diagnostics and other auxiliary buildings with 35 fixed beds of the Kattakurgan District Hospital</t>
  </si>
  <si>
    <t>Reconstruction of a 300-fixed-bed children's hospital in Namangan city</t>
  </si>
  <si>
    <t>Reconstruction of  a 230-fixed-bed maternity complex No. 2 in Namangan city</t>
  </si>
  <si>
    <t>Reconstruction of 95-fixed-bed children's, 30-fixed-bed emergency and 30-fixed-bed planned surgery departments of Namangan District Hospital</t>
  </si>
  <si>
    <t>Construction of a new building for 65-fixed-bed maternity complex at the district hospital in Yakkabog fortress</t>
  </si>
  <si>
    <t>Construction of a new 25-fixed-seat Uyshun branch in the Chirakchi District Medical Association</t>
  </si>
  <si>
    <t>Reconstruction of the Kashkadarya branch of the 220-fixed-bed Republican Emergency Medical Research Center in Karshi city</t>
  </si>
  <si>
    <t>Reconstruction of 30-fixed-bed emergency ambulance and 30-fixed-bed surgical departments of the Fergana District Hospital</t>
  </si>
  <si>
    <t>Reconstruction of the regional perinatal center's treatment department with 35 fixed and 10 ambulator beds</t>
  </si>
  <si>
    <t>Reconstruction of 50-fixed-bed surgical, emergency and 30-fixed-bed treatment units in Angor District Hospital</t>
  </si>
  <si>
    <t>Reconstruction of admission diagnostics, 15-fixed-bed emergency, 20-fixed-bed planned surgery, 15-fixed-bed children's and 20-fixed-bed therapy departments in Bandikhon District Hospital</t>
  </si>
  <si>
    <t>Reconstruction of 30-fixed-bed emergency and 30-fixed-bed surgical departments in Oltinsoy District Hospital</t>
  </si>
  <si>
    <t>Reconstruction of 30-fixed-bed children's and intensive care units in Muzrabot District Hospital</t>
  </si>
  <si>
    <t>Reconstruction of 63-fixed-bed treatment unit of the regional multidisciplinary medical center</t>
  </si>
  <si>
    <t>Хасан</t>
  </si>
  <si>
    <t>+998-97-138-59-59</t>
  </si>
  <si>
    <t>"AXATBEK QURILISH OMAD" MCHJ</t>
  </si>
  <si>
    <t>Kindergarten No. 24 in Chilonzor district</t>
  </si>
  <si>
    <t>Reconstruction of kindergarten No. 24 in Chilonzor district, the level of coverage of children up to 3-6 years will be increased and additional jobs will be created</t>
  </si>
  <si>
    <t>Number of RENOVATED BEDS</t>
  </si>
  <si>
    <t>Fixed beds</t>
  </si>
  <si>
    <t>Ambulatory</t>
  </si>
  <si>
    <t>Area of the medical establishment</t>
  </si>
  <si>
    <t>Area of the kindergarten building used for studying/education</t>
  </si>
  <si>
    <t>Area of the school building used for studying/education</t>
  </si>
  <si>
    <t>Number of NEW BEDS created</t>
  </si>
  <si>
    <t>New fixed beds</t>
  </si>
  <si>
    <t>New ambulatory</t>
  </si>
  <si>
    <t>Number of new/additional medical staff and technical staff (non-medical professionals) employed as a result of the project</t>
  </si>
  <si>
    <t>New medical staff</t>
  </si>
  <si>
    <t>Number of population (directly benefited) in the area served by the health facility</t>
  </si>
  <si>
    <t>Number of patients treated since the project start till June 1, 2024</t>
  </si>
  <si>
    <t>MEDICAL ESTABLISHMENTS</t>
  </si>
  <si>
    <t>Reconstruction of "Naiman" canal in Khatirchi district, Navoi region</t>
  </si>
  <si>
    <t>Reconstruction of sewage pumping station and sewage collector in Andijan district</t>
  </si>
  <si>
    <t>Reconstruction of 3.2 km long sewage networks passing through the outer side of the "Ichan Qalla" wall</t>
  </si>
  <si>
    <t>Construction of drinking water systems in the center of Hazorasp district</t>
  </si>
  <si>
    <t>Construction of drinking water systems of Yangariq district center</t>
  </si>
  <si>
    <t>Providing the population with clean drinking water</t>
  </si>
  <si>
    <t>Covering the population with wastewater services</t>
  </si>
  <si>
    <t>Construction of water supply and sewage networks for high-rise buildings in "Ittifaq" neighbourhood, Khojaabad district</t>
  </si>
  <si>
    <t>Reconstruction of drinking water networks in "Bayterak", "Akjabiz", "Shairlar", "Tinchlik", "Ornek" and "Sarbinaz" neighbourhoods in Nukus city</t>
  </si>
  <si>
    <t>Building a new water network for Tubay settlement in the territory of the "Juzimbag" neighbourhood of Kegeili district</t>
  </si>
  <si>
    <t>Construction of drinking water systems of "Gaiston" neighbourhood in Yangikurgan district</t>
  </si>
  <si>
    <t>Reconstruction of the water pipeline on "Jaykhun" street in Karshi city</t>
  </si>
  <si>
    <t>Reconstruction of drinking water pipelines along "Nasaf" street in Karshi city</t>
  </si>
  <si>
    <t>Replacement of drinking water pipes in "Kamilon" neighborhood in Karshi city</t>
  </si>
  <si>
    <t>Construction of drinking water pipelines in "Mahallot" and "Nuristan" neighborhoods in Karshi city</t>
  </si>
  <si>
    <t>Reconstruction of drinking water networks from "Puteprovod" pumping station to "Nishon" road along "Karshi-Beshkent" road in Karshi city</t>
  </si>
  <si>
    <t>Construction of a main drinking water pipeline from the water distribution branch "Yangiabad" to the pumping station "Batosh" in Guzor district</t>
  </si>
  <si>
    <t xml:space="preserve">Installing the main water supply pipeline on Mustakillik street in Guzor District </t>
  </si>
  <si>
    <t>Construction of drinking water system in Ingirchok and Khanabad neighbourhoods of Buvaida district</t>
  </si>
  <si>
    <t>Construction of drinking water systems in "Sharlauk" neighbourhood of Tuproqkala district</t>
  </si>
  <si>
    <t>Reconstruction of 8 km long existing sewage networks in "Ichan Qala" neighborhood and connection of 387 households to the sewage network, previously not connected</t>
  </si>
  <si>
    <t>Construction of drinking water systems in "Ashkhabad" neighbourhood in Urgench city</t>
  </si>
  <si>
    <t xml:space="preserve">Construction of 7.5 km long wastewater network on Sharof Rashidov street in Denov district </t>
  </si>
  <si>
    <t>Construction of 3-km long sewage network and 500-meter cubic pumping station on Mustakillik Street</t>
  </si>
  <si>
    <t>Construction of drinking water network for the residents of "Dostlik" neighbourhood in Boyovut district</t>
  </si>
  <si>
    <t xml:space="preserve">Water supply and wastewater systems have been provided to the residents of new multi-story buildings </t>
  </si>
  <si>
    <t>258 households have been connected to the centralized drinking water network</t>
  </si>
  <si>
    <t>Construction of drinking water network in "Sovot" neighbourhood of Yangiabad district</t>
  </si>
  <si>
    <t>Providing clean drinking water to more than 10,000 people living in the neighbourhood</t>
  </si>
  <si>
    <t>Access of the inhabitantns to centralized drinking water system has been improved</t>
  </si>
  <si>
    <t>Improving wastewater services for the population</t>
  </si>
  <si>
    <t xml:space="preserve">Newly built and repaired drinking water networks </t>
  </si>
  <si>
    <t>Newly built
(km)</t>
  </si>
  <si>
    <t>Repaired
(km)</t>
  </si>
  <si>
    <t>DRINKING WATER AND SEWAGE PIPELINES</t>
  </si>
  <si>
    <t xml:space="preserve">Newly built and repaired waste water networks </t>
  </si>
  <si>
    <t>Number of people with IMPROVED drinking water and sanitary facilities</t>
  </si>
  <si>
    <t xml:space="preserve">Number of NEW (ADDITIONAL) PEOPLE covered with clean drinking water and sanitary facilities </t>
  </si>
  <si>
    <t>Volume of clean drinking water supplied to the population since the project started till June 1, 2024 (m.cub)</t>
  </si>
  <si>
    <t>Volume of treated wastewater since the project started till June 1, 2024 (m.cub)</t>
  </si>
  <si>
    <t>IRRIGATION</t>
  </si>
  <si>
    <t>Reconstruction of "M-2" canal in Muynok district</t>
  </si>
  <si>
    <t>Reconstruction of the "Qotortol" canal (PK 76 to PK 144) in Andijan district</t>
  </si>
  <si>
    <t>Reconstruction of canals in "Ghayrat", "Kurtki" and "Gulbakhor" massifs of Jalakuduq district</t>
  </si>
  <si>
    <t>Reconstruction of a part of "Kangli" in Sh.Rashidov district from PK16+00 to PK29+30-Reconstruction of a part of "Kangli" in Sh.Rashidov district from PK16+00 to PK29+30-Reconstruction of a part of "Kangli" in Sh.Rashidov district from PK16+00 to PK29+30</t>
  </si>
  <si>
    <t>Reconstruction of the Oktepasoy canal in Kokand, Fergana region.</t>
  </si>
  <si>
    <t>Reconstruction of the Right Bank Canal from PK125+00 to PK144+00, Bulung'ur District</t>
  </si>
  <si>
    <t>Reconstruction of "Udachi-yab" and "Udachi-1" canals in Shavat district</t>
  </si>
  <si>
    <t>Reconstruction of PR-4-1-8 irrigation system canal in Boyovut district</t>
  </si>
  <si>
    <t xml:space="preserve">Reconstruction of the section of irrigation canal "P-12-3" in Sayhunabad district from PK00 + 00 to PK32 + 00 </t>
  </si>
  <si>
    <t>Reconstruction of the "PK-5" canal flowing through Yuqori Chirchik and Ortachirchik districts from PK0+00 to PK80+00</t>
  </si>
  <si>
    <t>Improvement of water supply to 1309 hectares of irrigated land connected to this canal and increase in the productivity of agricultural land</t>
  </si>
  <si>
    <t>The "KBMK" canal in Qorvulbozor district of Bukhara region is a 34.0 km long concrete-lined canal.  The area connected to this canal is 16,034 hectares. Its design capacity is 22.0 m3/sec, but the actual capacity is 18.0 m3/sec. 
As a result of the project, the Useful Work Coefficient of the canal can be increased from 0.85 to 0.90 and 26.4 million m3 of water can be saved in one year. The productivity of cotton will increase by 10 quintals and grain by 18 centners.</t>
  </si>
  <si>
    <t>Reconstruction of the 6718 meter long canal will improve the water supply to 3,469 ha of agricultural fields</t>
  </si>
  <si>
    <t>As a result of reconstruction of 12 km long canals, water supply of 500 ha of cultivated area will be improved and 200 ha of land will be returned to use</t>
  </si>
  <si>
    <t>As a result of reconstruction, water supply of 7,600 hectares of agricultural land connected to the "M-2" canal will be improved</t>
  </si>
  <si>
    <t>After the reconstruction, the canal bank will not be washed away and the canal bed will not change and will not destroy breakwater structure (1x) and perepads (3x).
The irrigation of 2,761 ha of land area in Makhsumov region and 45,405 ha of land area in Jomboy and Payarik districts will be improved</t>
  </si>
  <si>
    <t>Reconstruction of the canal ensures a guaranteed supply of water to the canal, and the irrigated area connected to the canal has been increased by 3,000 ha.</t>
  </si>
  <si>
    <t>Reconstruction of “Shur ”canal in Yangikurgan district of Namangan region</t>
  </si>
  <si>
    <t>Reonstruction of “Shur”canal will improve the water supply to the area of ​​550 hectares and reduce the salinization of lands</t>
  </si>
  <si>
    <t>The Oktepasay canal is 30.0 km long canal, of which 6.5 km flows through the city of Kokand. Water flow capacity is 10m3 / sec, source of water is Big Fergana main canal. It provides water to 5,500 hectares of arable land of 76 farms in Dangara district and 1,125 hectares of farms and 19,500 people. As a result of damage to concrete pavements in part of 6.5 km that flows in Kokand city, the capacity fell to 3.5 m3/sec (efficiency was 35%). Reconstruction of the 5.9 km section of the canal from PK0+00 to PK59+00 passing through the territory of Kokand city by clearing the bottom of the canal from mud, performing earthworks and concrete works in the canal, bringing SZP and FBS blocks on both sides of the canal and installation, asphalting of both sides of the canal. As a result of the project, the canal's efficiency will be increased to 85%, up to 9.0 million m3 of water will be saved during the year.
5,500 hectares of arable land of 76 farms in Dangara district will be provided with guaranteed water, and the water supply to 1,125 hectares of farms and 19,500 people will be imrpoved. The yield of cotton will increase by 3.0 t/ha and the yield of grain will increase by 5.0 t/ha.</t>
  </si>
  <si>
    <t xml:space="preserve">As a result of reconstruction of 5 km long concrete canal and reconstruction of 8 waterworks, the efficiency of the canal has been increased to 90%, and water supply to 845 hectares of arable land in Mirzaabad and Boyovut districts has been imrpoved </t>
  </si>
  <si>
    <t>As a result of reconstruction of 3.2 km long concrete canal and reconstruction of 7 waterworks, the efficiency of the canal has been increased to 90%, and water supply to 613.8 ha of arable land in the territory has been imrpoved.</t>
  </si>
  <si>
    <r>
      <t xml:space="preserve">Volume of water saved per year
</t>
    </r>
    <r>
      <rPr>
        <b/>
        <i/>
        <sz val="11"/>
        <color theme="1"/>
        <rFont val="Times New Roman"/>
        <family val="1"/>
        <charset val="204"/>
      </rPr>
      <t>(meter cubic per year)</t>
    </r>
  </si>
  <si>
    <t>Reconstruction of the 13th school in Ellikkala district, which will increase the level of coverage of students of grades 1-11 at the age of 7-18 and create additional jobs. In addition, students accomodation for 240 beds will be constructed</t>
  </si>
  <si>
    <r>
      <t xml:space="preserve">Number of graduated students managed to enter higher education institutions 
</t>
    </r>
    <r>
      <rPr>
        <b/>
        <i/>
        <sz val="11"/>
        <color theme="1"/>
        <rFont val="Times New Roman"/>
        <family val="1"/>
        <charset val="204"/>
      </rPr>
      <t>(excluding 2024 results)</t>
    </r>
  </si>
  <si>
    <t>Сonstruction of 200-fixed-bed regional children's tuberculosis sanatorium in Kokand city</t>
  </si>
  <si>
    <t>Construction of drinking water networks in "Yangi Zarafshon" neighbourhood and 19th small neighbourhood in Zarafshon city</t>
  </si>
  <si>
    <t>Almost 6,000 people have been provided with clean drinking water</t>
  </si>
  <si>
    <t>Reconstruction of the sewage pumping station and waste water collector have improved the wastewater system of almost 7,000 people</t>
  </si>
  <si>
    <t>Access of 4,200 inhabitants to centralized drinking water system has been improved</t>
  </si>
  <si>
    <t>More than 3,600 people have been provided with clean drinking water</t>
  </si>
  <si>
    <t>Land areas with improved irrigation and reduced salinity</t>
  </si>
  <si>
    <t>Area</t>
  </si>
  <si>
    <t>Financing</t>
  </si>
  <si>
    <t>Construction of new schools</t>
  </si>
  <si>
    <t>Reconstruction of existing schools</t>
  </si>
  <si>
    <t>Region</t>
  </si>
  <si>
    <t>Teachers employed</t>
  </si>
  <si>
    <t>%</t>
  </si>
  <si>
    <t>Non-teaching staff employed</t>
  </si>
  <si>
    <t>Number of jobs</t>
  </si>
  <si>
    <t>Renovated seats</t>
  </si>
  <si>
    <t>New seats</t>
  </si>
  <si>
    <t>School capacity</t>
  </si>
  <si>
    <t>Amount of financing
(in UZS'm)</t>
  </si>
  <si>
    <t>Number of people benefiting from the implementation of the project (population of the area)</t>
  </si>
  <si>
    <r>
      <t xml:space="preserve">New staff, </t>
    </r>
    <r>
      <rPr>
        <b/>
        <i/>
        <sz val="11"/>
        <color rgb="FF000000"/>
        <rFont val="Times New Roman"/>
        <family val="1"/>
        <charset val="204"/>
      </rPr>
      <t>including:</t>
    </r>
  </si>
  <si>
    <t>TOTAL STAFF</t>
  </si>
  <si>
    <t>Allocation</t>
  </si>
  <si>
    <t>NEW CAPACITY</t>
  </si>
  <si>
    <t>Construction
(in UZS'm)</t>
  </si>
  <si>
    <t>Reconstruction
(in UZS'm)</t>
  </si>
  <si>
    <t>Rural
(in UZS'm)</t>
  </si>
  <si>
    <t>Urban
(in UZS'm)</t>
  </si>
  <si>
    <t>Total Financing
(in UZS'm)</t>
  </si>
  <si>
    <t>School area</t>
  </si>
  <si>
    <t>Current number of students</t>
  </si>
  <si>
    <t>Students graduated</t>
  </si>
  <si>
    <r>
      <t xml:space="preserve">Graduated students enrolled at higher education
</t>
    </r>
    <r>
      <rPr>
        <b/>
        <i/>
        <sz val="11"/>
        <color theme="1"/>
        <rFont val="Times New Roman"/>
        <family val="1"/>
        <charset val="204"/>
      </rPr>
      <t>(excluding 2024 results)</t>
    </r>
  </si>
  <si>
    <t>People benefiting from the projects</t>
  </si>
  <si>
    <t>New teachers employed</t>
  </si>
  <si>
    <t>New non-teaching staff employed</t>
  </si>
  <si>
    <t>Additional seats created</t>
  </si>
  <si>
    <t>Number of boys studying</t>
  </si>
  <si>
    <t>Number of girls studying</t>
  </si>
  <si>
    <t>Quantity of projects</t>
  </si>
  <si>
    <t>Number of jobs before</t>
  </si>
  <si>
    <t>TOTAL JOBS</t>
  </si>
  <si>
    <t>People benefited from the projects</t>
  </si>
  <si>
    <t>Kids graduated</t>
  </si>
  <si>
    <t>Number of kids graduated from kindergarten until June 1, 2024 since the project started
(excluding 2024 results)</t>
  </si>
  <si>
    <t>Reconstruction of 30-fixed-bed emergency ambulance and 30-fixed-bed surgical departments of the Yozhiovon District Hospital with additional 12 fixed beds</t>
  </si>
  <si>
    <t>Total fixed beds</t>
  </si>
  <si>
    <t>Total ambulatory beds</t>
  </si>
  <si>
    <t>Renovated fixed beds</t>
  </si>
  <si>
    <t>Renovated ambulatory beds</t>
  </si>
  <si>
    <t>New fixed beds created</t>
  </si>
  <si>
    <t>New ambulatory beds created</t>
  </si>
  <si>
    <t>Technical staff employed</t>
  </si>
  <si>
    <t>Medical staff employed</t>
  </si>
  <si>
    <t>Medical establishment capacity</t>
  </si>
  <si>
    <t>Number of patients treated</t>
  </si>
  <si>
    <t>Length of drinking water pipelines constructed</t>
  </si>
  <si>
    <t>Length of waste water pipelines (sewage) constructed</t>
  </si>
  <si>
    <t>Length of drinking water pipelines reconstructed</t>
  </si>
  <si>
    <t>Length of waste water pipelines (sewage) reconstructed</t>
  </si>
  <si>
    <t>Total number of people covered</t>
  </si>
  <si>
    <t>Financing for construction
(in UZS'm)</t>
  </si>
  <si>
    <t>Financing for reconstruction
(in UZS'm)</t>
  </si>
  <si>
    <t>Volume of clean drinking water supplied to the population since the project started till June 1, 2024 
(m.cub)</t>
  </si>
  <si>
    <t>Construction projects</t>
  </si>
  <si>
    <t>Number of NEW people covered by construction</t>
  </si>
  <si>
    <t>Length of canals reconstructed in km</t>
  </si>
  <si>
    <t>Hectars of land affected</t>
  </si>
  <si>
    <t>Growth rate in productivity (%)</t>
  </si>
  <si>
    <t>Volume of water saved per year
(meter cubic per year)</t>
  </si>
  <si>
    <r>
      <t xml:space="preserve">Reconstruction of irrigation networks and canals </t>
    </r>
    <r>
      <rPr>
        <b/>
        <i/>
        <sz val="11"/>
        <color theme="1"/>
        <rFont val="Times New Roman"/>
        <family val="1"/>
        <charset val="204"/>
      </rPr>
      <t>(km)</t>
    </r>
  </si>
  <si>
    <t>Reconstruction of the "RK-5" channel from PK0+00 to PK80+00, flowing through the Yuqori Chirchik and Ortachirchik districts.
Melioration condition of and water supply to 15,071 ha of cultivated land in Ortachirchik district and 2,077 ha of cultivated land in Yuqori Chirchik district have been improved. As a result of project, 4 water dams and 9 water receiving structures were replaced with new ones.</t>
  </si>
  <si>
    <t>The "Navroz" canal is 3.8 km long and provides water to 630 hectares of land. It is a concrete-lined canal. 
The "Jizmandi" canal is 4 km long and provides water to 165 hectares of land. 
The "Kahramon" canal is 6.2 km long and provides water to 250 hectares of land. The "Kahramon" canal is a concrete-lined canal. 
The design capacity of these canals is 1 m3/sec, but the actual capacity is 0.50-0.60 m3/sec. 
As a result of the project, The Useful Work Coefficient of the canal has been increased from 0.65 to 0.90, and irrigation of 1,045 hectares of cropland connected to these canals has been improved. Repair of 4 pipeline intersections and 2 barrier structures.</t>
  </si>
  <si>
    <t>As a result of the implementation of the measures specified in the project, 4500.3 hectares of agricultural fields of "Sayilkhan Mirob", "Shavot Dostlik", "Quranboy Ollazar" and "Qiyot" neighbourhoods in Shavot district will be provided with the guaranteed water supply. Within the project, 3 water dams, 2 water measuring stations, 4 pipeline crossings and 48 ​​water intakes were reconstructed.</t>
  </si>
  <si>
    <t>SDG</t>
  </si>
  <si>
    <t>Catergory of Sustainable Expenditure</t>
  </si>
  <si>
    <t>Allocation of Proceeds</t>
  </si>
  <si>
    <t>Total</t>
  </si>
  <si>
    <t>Preventive vaccination coverage for 2021 in the Republic of Uzbekistan</t>
  </si>
  <si>
    <t>HBV-1 (Hepatitis B)</t>
  </si>
  <si>
    <t>BCG-1</t>
  </si>
  <si>
    <t>DTP</t>
  </si>
  <si>
    <t>Total coverage</t>
  </si>
  <si>
    <t>1 day</t>
  </si>
  <si>
    <t>2-5 days</t>
  </si>
  <si>
    <t>16 months old</t>
  </si>
  <si>
    <t>Target</t>
  </si>
  <si>
    <t>Coverage</t>
  </si>
  <si>
    <t>Buxara</t>
  </si>
  <si>
    <t>Navoiy</t>
  </si>
  <si>
    <t>Khorezm</t>
  </si>
  <si>
    <t>Republic of Karakalpakstan</t>
  </si>
  <si>
    <t>OPV-1</t>
  </si>
  <si>
    <t>OPV-2</t>
  </si>
  <si>
    <t>OPV-3</t>
  </si>
  <si>
    <t>OPV-4</t>
  </si>
  <si>
    <t>OPV-5</t>
  </si>
  <si>
    <t>OPV Total coverage</t>
  </si>
  <si>
    <t>2 months old</t>
  </si>
  <si>
    <t>3 months old</t>
  </si>
  <si>
    <t>4 months old</t>
  </si>
  <si>
    <t>7 years old</t>
  </si>
  <si>
    <t>Pentavalent vaccine-1</t>
  </si>
  <si>
    <t>Pentavalent vaccine-2</t>
  </si>
  <si>
    <t>Pentavalent vaccine-3</t>
  </si>
  <si>
    <t>Pneumococcal vaccine-1</t>
  </si>
  <si>
    <t>Pneumococcal vaccine-2</t>
  </si>
  <si>
    <t>Pneumococcal vaccine-3</t>
  </si>
  <si>
    <t>12 months old</t>
  </si>
  <si>
    <t>Rotavirus vaccine-1</t>
  </si>
  <si>
    <t>Rotavirus vaccine-2</t>
  </si>
  <si>
    <t>Rotavirus vaccine-3</t>
  </si>
  <si>
    <t>DT vaccine-5</t>
  </si>
  <si>
    <t>DT vaccine-6</t>
  </si>
  <si>
    <t>16 years old</t>
  </si>
  <si>
    <t>MMR-1</t>
  </si>
  <si>
    <t>MMR-2</t>
  </si>
  <si>
    <t>6 years old</t>
  </si>
  <si>
    <t>Total vaccinated by region</t>
  </si>
  <si>
    <r>
      <t xml:space="preserve">Construction and reconstruction of </t>
    </r>
    <r>
      <rPr>
        <b/>
        <sz val="9"/>
        <color rgb="FF000000"/>
        <rFont val="Arial"/>
        <family val="2"/>
        <charset val="204"/>
      </rPr>
      <t>schools</t>
    </r>
  </si>
  <si>
    <r>
      <t xml:space="preserve">Construction and reconstruction of </t>
    </r>
    <r>
      <rPr>
        <b/>
        <sz val="9"/>
        <color rgb="FF000000"/>
        <rFont val="Arial"/>
        <family val="2"/>
        <charset val="204"/>
      </rPr>
      <t>kindergartens</t>
    </r>
  </si>
  <si>
    <r>
      <t xml:space="preserve">Construction and reconstruction of </t>
    </r>
    <r>
      <rPr>
        <b/>
        <sz val="9"/>
        <color rgb="FF000000"/>
        <rFont val="Arial"/>
        <family val="2"/>
        <charset val="204"/>
      </rPr>
      <t>hospitals</t>
    </r>
  </si>
  <si>
    <r>
      <t xml:space="preserve">Children's </t>
    </r>
    <r>
      <rPr>
        <b/>
        <sz val="9"/>
        <color rgb="FF000000"/>
        <rFont val="Arial"/>
        <family val="2"/>
        <charset val="204"/>
      </rPr>
      <t xml:space="preserve">vaccination </t>
    </r>
    <r>
      <rPr>
        <sz val="9"/>
        <color rgb="FF000000"/>
        <rFont val="Arial"/>
        <family val="2"/>
        <charset val="204"/>
      </rPr>
      <t>programme</t>
    </r>
  </si>
  <si>
    <r>
      <t xml:space="preserve">Construction and reconstruction of </t>
    </r>
    <r>
      <rPr>
        <b/>
        <sz val="9"/>
        <color rgb="FF000000"/>
        <rFont val="Arial"/>
        <family val="2"/>
        <charset val="204"/>
      </rPr>
      <t xml:space="preserve">drinking water </t>
    </r>
    <r>
      <rPr>
        <sz val="9"/>
        <color rgb="FF000000"/>
        <rFont val="Arial"/>
        <family val="2"/>
        <charset val="204"/>
      </rPr>
      <t xml:space="preserve">facilities and </t>
    </r>
    <r>
      <rPr>
        <b/>
        <sz val="9"/>
        <color rgb="FF000000"/>
        <rFont val="Arial"/>
        <family val="2"/>
        <charset val="204"/>
      </rPr>
      <t xml:space="preserve">sewage </t>
    </r>
    <r>
      <rPr>
        <sz val="9"/>
        <color rgb="FF000000"/>
        <rFont val="Arial"/>
        <family val="2"/>
        <charset val="204"/>
      </rPr>
      <t>systems</t>
    </r>
  </si>
  <si>
    <r>
      <t xml:space="preserve">Reconstruction of </t>
    </r>
    <r>
      <rPr>
        <b/>
        <sz val="9"/>
        <color rgb="FF000000"/>
        <rFont val="Arial"/>
        <family val="2"/>
        <charset val="204"/>
      </rPr>
      <t xml:space="preserve">irrigation </t>
    </r>
    <r>
      <rPr>
        <sz val="9"/>
        <color rgb="FF000000"/>
        <rFont val="Arial"/>
        <family val="2"/>
        <charset val="204"/>
      </rPr>
      <t>systems</t>
    </r>
  </si>
  <si>
    <r>
      <t xml:space="preserve">Construction of overground and underground </t>
    </r>
    <r>
      <rPr>
        <b/>
        <sz val="9"/>
        <color rgb="FF000000"/>
        <rFont val="Arial"/>
        <family val="2"/>
        <charset val="204"/>
      </rPr>
      <t xml:space="preserve">metro </t>
    </r>
    <r>
      <rPr>
        <sz val="9"/>
        <color rgb="FF000000"/>
        <rFont val="Arial"/>
        <family val="2"/>
        <charset val="204"/>
      </rPr>
      <t>in the capital city</t>
    </r>
  </si>
  <si>
    <t>Project</t>
  </si>
  <si>
    <t>Overground / underground</t>
  </si>
  <si>
    <t>Quantity of stations</t>
  </si>
  <si>
    <t>Length of lines in km</t>
  </si>
  <si>
    <t>Travel time saving</t>
  </si>
  <si>
    <t>Yunusabad line of Tashkent underground metro system</t>
  </si>
  <si>
    <t>Underground</t>
  </si>
  <si>
    <t>Yes, it is a continuation of existing Yunusobod line of Tashkent underground railway system. Two new stations of the line have been built within the framework of project.</t>
  </si>
  <si>
    <t>Zero emission at all</t>
  </si>
  <si>
    <t>At least two times in comparison with on-land transport during rush hour</t>
  </si>
  <si>
    <t>Sergeli overground line of Tashkent underground metro system</t>
  </si>
  <si>
    <t>Overground</t>
  </si>
  <si>
    <t xml:space="preserve">Yes, it is connected to the existing Chilonzor line of Tashkent underground railway system. New Sergeli line, which is overground, consists of 5 new stations. </t>
  </si>
  <si>
    <t>Tashkent overground loop metro line</t>
  </si>
  <si>
    <t>Yes, it is connected to the new Sergeli line of Tashkent underground railway system. Tashkent overground railway consists of 14 new stations.</t>
  </si>
  <si>
    <t>Total cost
(in UZS'm)</t>
  </si>
  <si>
    <t>GHG emission</t>
  </si>
  <si>
    <t>Link with other lines of existing underground system</t>
  </si>
  <si>
    <t>Secondary SDG</t>
  </si>
  <si>
    <t>3. Good Health and Well-being</t>
  </si>
  <si>
    <t>5. Gender Equality</t>
  </si>
  <si>
    <t>4. Quality Education</t>
  </si>
  <si>
    <t>8. Decent Work and Economic Growth
9. Industry, Innovation and Infrastructure
5. Gender Equality</t>
  </si>
  <si>
    <t>6. Clean Water and Sanitation</t>
  </si>
  <si>
    <t>11. Sustainable Cities and Communities
13. Climate Action</t>
  </si>
  <si>
    <t>9. Industry, Innovation and Infrastructure</t>
  </si>
  <si>
    <t>Primary SDG</t>
  </si>
  <si>
    <t>Andijan region</t>
  </si>
  <si>
    <t>Bukhara region</t>
  </si>
  <si>
    <t>Jizzakh region</t>
  </si>
  <si>
    <t>Khorezm region</t>
  </si>
  <si>
    <t>Syrdarya region</t>
  </si>
  <si>
    <t>Navoi region</t>
  </si>
  <si>
    <t>Fergana region</t>
  </si>
  <si>
    <t>Namangan region</t>
  </si>
  <si>
    <t>Samarkand region</t>
  </si>
  <si>
    <t>Kashkadarya region</t>
  </si>
  <si>
    <t>Surkhandarya region</t>
  </si>
  <si>
    <t>2. Zero Hunger</t>
  </si>
  <si>
    <t>13. Climate Action
15. Life on Land</t>
  </si>
  <si>
    <t>11. Sustainable Cities and Communities
3.Good Health and Well-being</t>
  </si>
  <si>
    <r>
      <t xml:space="preserve">Allocation amount in UZS'm
</t>
    </r>
    <r>
      <rPr>
        <b/>
        <i/>
        <sz val="10"/>
        <color rgb="FF000000"/>
        <rFont val="Calibri"/>
        <family val="2"/>
        <charset val="204"/>
        <scheme val="minor"/>
      </rPr>
      <t>(excluding vaccination)</t>
    </r>
  </si>
  <si>
    <t>Amount in UZS'm</t>
  </si>
  <si>
    <t>Average number of passangers served (daily)</t>
  </si>
  <si>
    <t>Estimation</t>
  </si>
  <si>
    <t>Construction of a new building for multidisciplinary central polyclinic of the Tashkent District Hospital with 300 ambulator beds</t>
  </si>
  <si>
    <t>Construction of a new building for a family polyclinic No. 8 in Andijan city with 350 ambulatory beds</t>
  </si>
  <si>
    <t>Area after (m2)</t>
  </si>
  <si>
    <t>Area before (m2)</t>
  </si>
  <si>
    <t>Schools</t>
  </si>
  <si>
    <t>Kindergartens</t>
  </si>
  <si>
    <t>SDG 4. Quality Education</t>
  </si>
  <si>
    <r>
      <t xml:space="preserve">New staff, </t>
    </r>
    <r>
      <rPr>
        <b/>
        <i/>
        <sz val="9"/>
        <color rgb="FF000000"/>
        <rFont val="Arial"/>
        <family val="2"/>
        <charset val="204"/>
      </rPr>
      <t>including:</t>
    </r>
  </si>
  <si>
    <t>SDG 3. Good Health and Well-being</t>
  </si>
  <si>
    <t>Hospitals</t>
  </si>
  <si>
    <t>Total by SDG 4</t>
  </si>
  <si>
    <t>Impact metrics by SDGs</t>
  </si>
  <si>
    <t>SDG 6. Clean Water and Sanitation</t>
  </si>
  <si>
    <t>Number of people covered by reconstruction (with improved facilities)</t>
  </si>
  <si>
    <t>Drinking water and sewage facilities</t>
  </si>
  <si>
    <t>Average growth rate in productivity (%)</t>
  </si>
  <si>
    <t>Irrigation networks/canals</t>
  </si>
  <si>
    <t>SDG 2. Zero Hunger</t>
  </si>
  <si>
    <t>Metro in the capital city</t>
  </si>
  <si>
    <t>Zero</t>
  </si>
  <si>
    <t>SDG 9. Industry, Innovation and Infrastructure</t>
  </si>
  <si>
    <t>Location</t>
  </si>
  <si>
    <t>Reconstruction of a 140-fixed-bed therapy department of the Samarkand District Hospital with additional 20 fixed beds.
Cardiology 40 beds, Neurology 40 beds, Endocrinology 40 beds and Physiotherapy 20+20 beds</t>
  </si>
  <si>
    <t>Information on coverage of vaccination programme was not available with urban/rural allocation, thus we divided the allocated amount equally into urban and rural (50-50)</t>
  </si>
  <si>
    <t>Removed number of people being double counted</t>
  </si>
  <si>
    <t>People benefited from the projects
(by region)</t>
  </si>
  <si>
    <t>SDG 2</t>
  </si>
  <si>
    <t>SDG 3</t>
  </si>
  <si>
    <t>SDG 4</t>
  </si>
  <si>
    <t>SDG 6</t>
  </si>
  <si>
    <t>SDG 9</t>
  </si>
  <si>
    <t>Number of graduated kids progressed to primary education
(excluding 2024 results)</t>
  </si>
  <si>
    <t>Kids graduated and progressed to primary education</t>
  </si>
  <si>
    <r>
      <t xml:space="preserve">School graduates enrolled at higher education
</t>
    </r>
    <r>
      <rPr>
        <b/>
        <i/>
        <sz val="11"/>
        <color theme="1"/>
        <rFont val="Times New Roman"/>
        <family val="1"/>
        <charset val="204"/>
      </rPr>
      <t>(excluding 2024 results) /</t>
    </r>
    <r>
      <rPr>
        <b/>
        <sz val="9"/>
        <color rgb="FF000000"/>
        <rFont val="Arial"/>
        <family val="2"/>
        <charset val="204"/>
      </rPr>
      <t xml:space="preserve">
Kids progressed to primary education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</si>
</sst>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 #,##0_-;_-* &quot;-&quot;??_-;_-@_-"/>
    <numFmt numFmtId="165" formatCode="dd\.mm\.yyyy"/>
    <numFmt numFmtId="166" formatCode="_-* #,##0.0_-;\-* #,##0.0_-;_-* &quot;-&quot;??_-;_-@_-"/>
    <numFmt numFmtId="167" formatCode="[&lt;=9999999]###\-####;\(###\)\ ###\-####"/>
    <numFmt numFmtId="168" formatCode="_-* #\ ##0.00_-;\-* #\ ##0.00_-;_-* &quot;-&quot;??_-;_-@_-"/>
    <numFmt numFmtId="169" formatCode="_-* #,##0.00\ _₽_-;\-* #,##0.00\ _₽_-;_-* &quot;-&quot;??\ _₽_-;_-@_-"/>
    <numFmt numFmtId="170" formatCode="_(* #,##0_);_(* \(#,##0\);_(* &quot;-&quot;??_);_(@_)"/>
    <numFmt numFmtId="171" formatCode="_-* #,##0\ _₽_-;\-* #,##0\ _₽_-;_-* &quot;-&quot;??\ _₽_-;_-@_-"/>
    <numFmt numFmtId="172" formatCode="_-* #,##0.0\ _₽_-;\-* #,##0.0\ _₽_-;_-* &quot;-&quot;??\ _₽_-;_-@_-"/>
  </numFmts>
  <fonts count="4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rgb="FF000000"/>
      <name val="Calibri"/>
      <family val="2"/>
      <charset val="204"/>
    </font>
    <font>
      <sz val="10"/>
      <name val="Arial Cyr"/>
      <charset val="204"/>
    </font>
    <font>
      <sz val="12"/>
      <name val="Times New Roman Cyr"/>
      <charset val="204"/>
    </font>
    <font>
      <b/>
      <sz val="11"/>
      <color rgb="FFFF0000"/>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sz val="11"/>
      <name val="Times New Roman"/>
      <family val="1"/>
      <charset val="204"/>
    </font>
    <font>
      <i/>
      <sz val="11"/>
      <name val="Times New Roman"/>
      <family val="1"/>
      <charset val="204"/>
    </font>
    <font>
      <sz val="9"/>
      <color indexed="81"/>
      <name val="Tahoma"/>
      <family val="2"/>
      <charset val="204"/>
    </font>
    <font>
      <b/>
      <sz val="9"/>
      <color indexed="81"/>
      <name val="Tahoma"/>
      <family val="2"/>
      <charset val="204"/>
    </font>
    <font>
      <sz val="11"/>
      <color rgb="FFFF0000"/>
      <name val="Times New Roman"/>
      <family val="1"/>
      <charset val="204"/>
    </font>
    <font>
      <b/>
      <i/>
      <sz val="11"/>
      <color theme="1"/>
      <name val="Times New Roman"/>
      <family val="1"/>
      <charset val="204"/>
    </font>
    <font>
      <sz val="11"/>
      <color rgb="FF000000"/>
      <name val="Times New Roman"/>
      <family val="1"/>
      <charset val="204"/>
    </font>
    <font>
      <sz val="10"/>
      <name val="Arial"/>
      <family val="2"/>
      <charset val="204"/>
    </font>
    <font>
      <sz val="11"/>
      <color indexed="8"/>
      <name val="Calibri"/>
      <family val="2"/>
      <charset val="204"/>
    </font>
    <font>
      <sz val="14"/>
      <color rgb="FF000000"/>
      <name val="Times New Roman"/>
      <family val="2"/>
      <charset val="204"/>
    </font>
    <font>
      <b/>
      <sz val="11"/>
      <color rgb="FF000000"/>
      <name val="Times New Roman"/>
      <family val="1"/>
      <charset val="204"/>
    </font>
    <font>
      <b/>
      <sz val="11"/>
      <color theme="1"/>
      <name val="Calibri"/>
      <family val="2"/>
      <charset val="204"/>
      <scheme val="minor"/>
    </font>
    <font>
      <sz val="10"/>
      <color rgb="FF000000"/>
      <name val="Calibri"/>
      <family val="2"/>
      <charset val="204"/>
      <scheme val="minor"/>
    </font>
    <font>
      <b/>
      <i/>
      <sz val="11"/>
      <color rgb="FF000000"/>
      <name val="Times New Roman"/>
      <family val="1"/>
      <charset val="204"/>
    </font>
    <font>
      <sz val="10"/>
      <color theme="1"/>
      <name val="Times New Roman"/>
      <family val="1"/>
      <charset val="204"/>
    </font>
    <font>
      <b/>
      <sz val="9"/>
      <color rgb="FF000000"/>
      <name val="Arial"/>
      <family val="2"/>
      <charset val="204"/>
    </font>
    <font>
      <sz val="9"/>
      <color rgb="FF000000"/>
      <name val="Arial"/>
      <family val="2"/>
      <charset val="204"/>
    </font>
    <font>
      <b/>
      <sz val="10"/>
      <color rgb="FF202124"/>
      <name val="Times New Roman"/>
      <family val="1"/>
      <charset val="204"/>
    </font>
    <font>
      <b/>
      <sz val="10"/>
      <color theme="1"/>
      <name val="Times New Roman"/>
      <family val="1"/>
      <charset val="204"/>
    </font>
    <font>
      <sz val="10"/>
      <name val="Times New Roman"/>
      <family val="1"/>
      <charset val="204"/>
    </font>
    <font>
      <b/>
      <sz val="10"/>
      <name val="Times New Roman"/>
      <family val="1"/>
      <charset val="204"/>
    </font>
    <font>
      <b/>
      <sz val="10"/>
      <color rgb="FF000000"/>
      <name val="Calibri"/>
      <family val="2"/>
      <charset val="204"/>
      <scheme val="minor"/>
    </font>
    <font>
      <b/>
      <i/>
      <sz val="10"/>
      <color rgb="FF000000"/>
      <name val="Calibri"/>
      <family val="2"/>
      <charset val="204"/>
      <scheme val="minor"/>
    </font>
    <font>
      <b/>
      <i/>
      <sz val="9"/>
      <color rgb="FF000000"/>
      <name val="Arial"/>
      <family val="2"/>
      <charset val="204"/>
    </font>
    <font>
      <i/>
      <sz val="11"/>
      <color theme="1"/>
      <name val="Calibri"/>
      <family val="2"/>
      <charset val="204"/>
      <scheme val="minor"/>
    </font>
    <font>
      <i/>
      <sz val="9"/>
      <color rgb="FF000000"/>
      <name val="Arial"/>
      <family val="2"/>
      <charset val="204"/>
    </font>
    <font>
      <b/>
      <i/>
      <sz val="11"/>
      <color theme="1"/>
      <name val="Calibri"/>
      <family val="2"/>
      <charset val="204"/>
      <scheme val="minor"/>
    </font>
    <font>
      <sz val="10"/>
      <color rgb="FF000000"/>
      <name val="Calibri"/>
      <family val="2"/>
      <scheme val="minor"/>
    </font>
    <font>
      <b/>
      <sz val="9"/>
      <color rgb="FF000000"/>
      <name val="Tahoma"/>
      <family val="2"/>
      <charset val="204"/>
    </font>
    <font>
      <sz val="9"/>
      <color rgb="FF000000"/>
      <name val="Tahoma"/>
      <family val="2"/>
      <charset val="204"/>
    </font>
  </fonts>
  <fills count="13">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BE5FF"/>
        <bgColor indexed="64"/>
      </patternFill>
    </fill>
    <fill>
      <patternFill patternType="solid">
        <fgColor rgb="FFFFB48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6161"/>
        <bgColor indexed="64"/>
      </patternFill>
    </fill>
    <fill>
      <patternFill patternType="solid">
        <fgColor theme="7"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s>
  <cellStyleXfs count="17">
    <xf numFmtId="0" fontId="0" fillId="0" borderId="0"/>
    <xf numFmtId="43" fontId="3" fillId="0" borderId="0" applyFont="0" applyFill="0" applyBorder="0" applyAlignment="0" applyProtection="0"/>
    <xf numFmtId="0" fontId="4" fillId="0" borderId="0"/>
    <xf numFmtId="0" fontId="2" fillId="0" borderId="0"/>
    <xf numFmtId="0" fontId="5" fillId="0" borderId="0"/>
    <xf numFmtId="0" fontId="4" fillId="0" borderId="0"/>
    <xf numFmtId="0" fontId="4" fillId="0" borderId="0"/>
    <xf numFmtId="0" fontId="6" fillId="0" borderId="0"/>
    <xf numFmtId="0" fontId="5" fillId="0" borderId="0"/>
    <xf numFmtId="0" fontId="4" fillId="0" borderId="0"/>
    <xf numFmtId="0" fontId="18" fillId="0" borderId="0"/>
    <xf numFmtId="0" fontId="19" fillId="0" borderId="0"/>
    <xf numFmtId="0" fontId="20" fillId="0" borderId="0"/>
    <xf numFmtId="0" fontId="5" fillId="0" borderId="0"/>
    <xf numFmtId="0" fontId="19" fillId="0" borderId="0"/>
    <xf numFmtId="9" fontId="3" fillId="0" borderId="0" applyFont="0" applyFill="0" applyBorder="0" applyAlignment="0" applyProtection="0"/>
    <xf numFmtId="169" fontId="3" fillId="0" borderId="0" applyFont="0" applyFill="0" applyBorder="0" applyAlignment="0" applyProtection="0"/>
  </cellStyleXfs>
  <cellXfs count="475">
    <xf numFmtId="0" fontId="0" fillId="0" borderId="0" xfId="0"/>
    <xf numFmtId="0" fontId="0" fillId="0" borderId="0" xfId="0" applyAlignment="1">
      <alignment vertical="center"/>
    </xf>
    <xf numFmtId="0" fontId="7" fillId="2" borderId="0" xfId="0" applyFont="1" applyFill="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wrapText="1"/>
    </xf>
    <xf numFmtId="164" fontId="8" fillId="2" borderId="0" xfId="1" applyNumberFormat="1" applyFont="1" applyFill="1" applyAlignment="1">
      <alignment vertical="center"/>
    </xf>
    <xf numFmtId="0" fontId="8" fillId="0" borderId="1" xfId="0" applyFont="1" applyBorder="1" applyAlignment="1">
      <alignment horizontal="center" vertical="center"/>
    </xf>
    <xf numFmtId="0" fontId="8" fillId="0" borderId="1" xfId="3"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left" vertical="center"/>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vertical="center"/>
    </xf>
    <xf numFmtId="164" fontId="8" fillId="0" borderId="1" xfId="1" applyNumberFormat="1" applyFont="1" applyFill="1" applyBorder="1" applyAlignment="1">
      <alignment vertical="center"/>
    </xf>
    <xf numFmtId="43" fontId="8" fillId="0" borderId="1" xfId="1" applyFont="1" applyFill="1" applyBorder="1" applyAlignment="1">
      <alignment vertical="center"/>
    </xf>
    <xf numFmtId="164" fontId="8" fillId="0" borderId="1" xfId="1" applyNumberFormat="1" applyFont="1" applyFill="1" applyBorder="1" applyAlignment="1">
      <alignment horizontal="right" vertical="center"/>
    </xf>
    <xf numFmtId="0" fontId="8" fillId="0" borderId="0" xfId="0" applyFont="1" applyAlignment="1">
      <alignment vertical="center"/>
    </xf>
    <xf numFmtId="0" fontId="8" fillId="0" borderId="1" xfId="0" applyFont="1" applyBorder="1" applyAlignment="1">
      <alignment horizontal="left" vertical="center" wrapText="1"/>
    </xf>
    <xf numFmtId="0" fontId="8" fillId="0" borderId="1" xfId="4" applyFont="1" applyBorder="1" applyAlignment="1">
      <alignment horizontal="left" vertical="center" wrapText="1"/>
    </xf>
    <xf numFmtId="14" fontId="8" fillId="0" borderId="1" xfId="0" applyNumberFormat="1" applyFont="1" applyBorder="1" applyAlignment="1">
      <alignment horizontal="left" vertical="center"/>
    </xf>
    <xf numFmtId="164" fontId="8" fillId="0" borderId="1" xfId="1" applyNumberFormat="1" applyFont="1" applyFill="1" applyBorder="1" applyAlignment="1">
      <alignment horizontal="center" vertical="center"/>
    </xf>
    <xf numFmtId="0" fontId="8" fillId="0" borderId="1" xfId="2" applyFont="1" applyBorder="1" applyAlignment="1">
      <alignment horizontal="left" vertical="center" wrapText="1"/>
    </xf>
    <xf numFmtId="43" fontId="8" fillId="0" borderId="1" xfId="1" applyFont="1" applyFill="1" applyBorder="1" applyAlignment="1">
      <alignment vertical="center" wrapText="1"/>
    </xf>
    <xf numFmtId="0" fontId="8" fillId="0" borderId="5" xfId="0" applyFont="1" applyBorder="1" applyAlignment="1">
      <alignment horizontal="center" vertical="center"/>
    </xf>
    <xf numFmtId="164" fontId="8" fillId="0" borderId="5" xfId="1" applyNumberFormat="1" applyFont="1" applyFill="1" applyBorder="1" applyAlignment="1">
      <alignment horizontal="right" vertical="center"/>
    </xf>
    <xf numFmtId="43" fontId="8" fillId="0" borderId="1" xfId="1" applyFont="1" applyFill="1" applyBorder="1" applyAlignment="1">
      <alignment horizontal="center" vertical="center"/>
    </xf>
    <xf numFmtId="49" fontId="8" fillId="0" borderId="1" xfId="0" applyNumberFormat="1" applyFont="1" applyBorder="1" applyAlignment="1">
      <alignment horizontal="center" vertical="center"/>
    </xf>
    <xf numFmtId="0" fontId="8" fillId="2" borderId="0" xfId="0" applyFont="1" applyFill="1" applyAlignment="1">
      <alignment horizontal="center" vertical="center"/>
    </xf>
    <xf numFmtId="164" fontId="8" fillId="0" borderId="1" xfId="1" applyNumberFormat="1" applyFont="1" applyBorder="1" applyAlignment="1">
      <alignment vertical="center" wrapText="1"/>
    </xf>
    <xf numFmtId="14" fontId="8" fillId="0" borderId="1" xfId="0" applyNumberFormat="1" applyFont="1" applyBorder="1" applyAlignment="1">
      <alignment horizontal="center" vertical="center" wrapText="1"/>
    </xf>
    <xf numFmtId="164" fontId="8" fillId="0" borderId="1" xfId="1" applyNumberFormat="1" applyFont="1" applyBorder="1" applyAlignment="1">
      <alignment horizontal="center" vertical="center" wrapText="1"/>
    </xf>
    <xf numFmtId="43" fontId="8" fillId="0" borderId="1" xfId="1" applyFont="1" applyBorder="1" applyAlignment="1">
      <alignment horizontal="center" vertical="center" wrapText="1"/>
    </xf>
    <xf numFmtId="0" fontId="15" fillId="0" borderId="0" xfId="0" applyFont="1" applyAlignment="1">
      <alignment vertical="center" wrapText="1"/>
    </xf>
    <xf numFmtId="43" fontId="8" fillId="2" borderId="1" xfId="1" applyFont="1" applyFill="1" applyBorder="1" applyAlignment="1">
      <alignment horizontal="center" vertical="center" wrapText="1"/>
    </xf>
    <xf numFmtId="164" fontId="8" fillId="0" borderId="1" xfId="1"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xf>
    <xf numFmtId="14" fontId="8" fillId="0" borderId="5" xfId="0" applyNumberFormat="1" applyFont="1" applyBorder="1" applyAlignment="1">
      <alignment horizontal="center" vertical="center"/>
    </xf>
    <xf numFmtId="0" fontId="7" fillId="0" borderId="0" xfId="0" applyFont="1" applyAlignment="1">
      <alignment vertical="center"/>
    </xf>
    <xf numFmtId="43" fontId="8" fillId="0" borderId="0" xfId="1" applyFont="1" applyAlignment="1">
      <alignment vertical="center"/>
    </xf>
    <xf numFmtId="0" fontId="8" fillId="0" borderId="0" xfId="0" applyFont="1" applyAlignment="1">
      <alignment horizontal="center" vertical="center" wrapText="1"/>
    </xf>
    <xf numFmtId="164" fontId="8" fillId="0" borderId="1" xfId="1" applyNumberFormat="1" applyFont="1" applyBorder="1" applyAlignment="1">
      <alignment horizontal="center" vertical="center"/>
    </xf>
    <xf numFmtId="43" fontId="8" fillId="0" borderId="1" xfId="1" applyFont="1" applyBorder="1" applyAlignment="1">
      <alignment vertical="center"/>
    </xf>
    <xf numFmtId="164" fontId="8" fillId="0" borderId="1" xfId="1" applyNumberFormat="1" applyFont="1" applyBorder="1" applyAlignment="1">
      <alignment vertical="center"/>
    </xf>
    <xf numFmtId="164" fontId="8" fillId="0" borderId="0" xfId="1" applyNumberFormat="1" applyFont="1" applyAlignment="1">
      <alignment vertical="center"/>
    </xf>
    <xf numFmtId="0" fontId="11" fillId="0" borderId="1" xfId="7" applyFont="1" applyBorder="1" applyAlignment="1" applyProtection="1">
      <alignment horizontal="left" vertical="center" wrapText="1"/>
      <protection locked="0"/>
    </xf>
    <xf numFmtId="164" fontId="8" fillId="0" borderId="1" xfId="1" applyNumberFormat="1" applyFont="1" applyBorder="1" applyAlignment="1">
      <alignment horizontal="left" vertical="center" wrapText="1"/>
    </xf>
    <xf numFmtId="0" fontId="11" fillId="0" borderId="1" xfId="5" applyFont="1" applyBorder="1" applyAlignment="1">
      <alignment horizontal="left" vertical="center" wrapText="1"/>
    </xf>
    <xf numFmtId="0" fontId="8" fillId="0" borderId="1" xfId="6" applyFont="1" applyBorder="1" applyAlignment="1">
      <alignment horizontal="left" vertical="center" wrapText="1"/>
    </xf>
    <xf numFmtId="0" fontId="11" fillId="0" borderId="1" xfId="2" applyFont="1" applyBorder="1" applyAlignment="1">
      <alignment vertical="center" wrapText="1"/>
    </xf>
    <xf numFmtId="0" fontId="11" fillId="0" borderId="1" xfId="2" applyFont="1" applyBorder="1" applyAlignment="1">
      <alignment horizontal="center" vertical="center" wrapText="1"/>
    </xf>
    <xf numFmtId="43" fontId="8" fillId="0" borderId="1" xfId="1" applyFont="1" applyBorder="1" applyAlignment="1">
      <alignment horizontal="center" vertical="center"/>
    </xf>
    <xf numFmtId="43" fontId="8" fillId="2" borderId="0" xfId="1" applyFont="1" applyFill="1" applyAlignment="1">
      <alignment vertical="center"/>
    </xf>
    <xf numFmtId="3" fontId="11" fillId="0" borderId="1" xfId="4" applyNumberFormat="1" applyFont="1" applyBorder="1" applyAlignment="1">
      <alignment horizontal="left" vertical="center" wrapText="1"/>
    </xf>
    <xf numFmtId="3" fontId="11" fillId="0" borderId="1" xfId="4" applyNumberFormat="1" applyFont="1" applyBorder="1" applyAlignment="1">
      <alignment horizontal="center" vertical="center" wrapText="1"/>
    </xf>
    <xf numFmtId="3" fontId="8" fillId="0" borderId="1" xfId="0" applyNumberFormat="1" applyFont="1" applyBorder="1" applyAlignment="1">
      <alignment horizontal="left" vertical="center" wrapText="1"/>
    </xf>
    <xf numFmtId="0" fontId="11" fillId="0" borderId="1" xfId="8" applyFont="1" applyBorder="1" applyAlignment="1">
      <alignment horizontal="center" vertical="center" wrapText="1"/>
    </xf>
    <xf numFmtId="0" fontId="11" fillId="0" borderId="1" xfId="8" applyFont="1" applyBorder="1" applyAlignment="1">
      <alignment horizontal="left" vertical="center" wrapText="1"/>
    </xf>
    <xf numFmtId="0" fontId="8" fillId="0" borderId="5" xfId="0" applyFont="1" applyBorder="1" applyAlignment="1">
      <alignment horizontal="left" vertical="center" wrapText="1"/>
    </xf>
    <xf numFmtId="0" fontId="11" fillId="0" borderId="1" xfId="7" applyFont="1" applyBorder="1" applyAlignment="1" applyProtection="1">
      <alignment horizontal="center" vertical="center" wrapText="1"/>
      <protection locked="0"/>
    </xf>
    <xf numFmtId="43" fontId="8" fillId="0" borderId="1" xfId="1" applyFont="1" applyBorder="1" applyAlignment="1">
      <alignment vertical="center" wrapText="1"/>
    </xf>
    <xf numFmtId="43" fontId="8" fillId="0" borderId="0" xfId="1" applyFont="1" applyFill="1" applyAlignment="1">
      <alignment vertical="center"/>
    </xf>
    <xf numFmtId="0" fontId="8" fillId="0" borderId="1" xfId="0" applyFont="1" applyBorder="1" applyAlignment="1">
      <alignment horizontal="left" vertical="center" wrapText="1" shrinkToFit="1"/>
    </xf>
    <xf numFmtId="0" fontId="11" fillId="0" borderId="1" xfId="2" applyFont="1" applyBorder="1" applyAlignment="1">
      <alignment horizontal="left" vertical="center" wrapText="1"/>
    </xf>
    <xf numFmtId="0" fontId="8" fillId="0" borderId="7" xfId="0" applyFont="1" applyBorder="1" applyAlignment="1">
      <alignment horizontal="left" vertical="center" wrapText="1"/>
    </xf>
    <xf numFmtId="0" fontId="8" fillId="2" borderId="0" xfId="0" applyFont="1" applyFill="1" applyAlignment="1">
      <alignment vertical="center" wrapText="1"/>
    </xf>
    <xf numFmtId="0" fontId="8" fillId="0" borderId="1" xfId="8" applyFont="1" applyBorder="1" applyAlignment="1">
      <alignment horizontal="left" vertical="center" wrapText="1"/>
    </xf>
    <xf numFmtId="165" fontId="17" fillId="0" borderId="1" xfId="0" applyNumberFormat="1" applyFont="1" applyBorder="1" applyAlignment="1">
      <alignment horizontal="center" vertical="center"/>
    </xf>
    <xf numFmtId="164" fontId="17" fillId="0" borderId="1" xfId="1" applyNumberFormat="1" applyFont="1" applyBorder="1" applyAlignment="1" applyProtection="1">
      <alignment horizontal="center" vertical="center"/>
    </xf>
    <xf numFmtId="0" fontId="17" fillId="0" borderId="2" xfId="0" applyFont="1" applyBorder="1" applyAlignment="1">
      <alignment horizontal="left" vertical="center" wrapText="1"/>
    </xf>
    <xf numFmtId="49" fontId="8" fillId="2" borderId="1" xfId="0" applyNumberFormat="1" applyFont="1" applyFill="1" applyBorder="1" applyAlignment="1">
      <alignment horizontal="center" vertical="center"/>
    </xf>
    <xf numFmtId="14" fontId="8" fillId="0" borderId="1" xfId="0" applyNumberFormat="1" applyFont="1" applyBorder="1" applyAlignment="1">
      <alignment horizontal="left" vertical="center" wrapText="1"/>
    </xf>
    <xf numFmtId="0" fontId="17" fillId="0" borderId="1" xfId="0" applyFont="1" applyBorder="1" applyAlignment="1">
      <alignment horizontal="left" vertical="center"/>
    </xf>
    <xf numFmtId="164" fontId="8" fillId="0" borderId="1" xfId="1" applyNumberFormat="1" applyFont="1" applyBorder="1" applyAlignment="1" applyProtection="1">
      <alignment horizontal="center" vertical="center" wrapText="1"/>
    </xf>
    <xf numFmtId="1" fontId="8" fillId="0" borderId="1" xfId="2" applyNumberFormat="1" applyFont="1" applyBorder="1" applyAlignment="1">
      <alignment horizontal="left" vertical="center" wrapText="1"/>
    </xf>
    <xf numFmtId="0" fontId="11" fillId="0" borderId="1" xfId="8" applyFont="1" applyBorder="1" applyAlignment="1">
      <alignment vertical="center" wrapText="1"/>
    </xf>
    <xf numFmtId="49" fontId="11" fillId="0" borderId="1" xfId="7" applyNumberFormat="1" applyFont="1" applyBorder="1" applyAlignment="1" applyProtection="1">
      <alignment horizontal="left" vertical="center" wrapText="1"/>
      <protection locked="0"/>
    </xf>
    <xf numFmtId="164" fontId="8" fillId="0" borderId="1" xfId="1" applyNumberFormat="1" applyFont="1" applyFill="1" applyBorder="1" applyAlignment="1">
      <alignment vertical="center" wrapText="1"/>
    </xf>
    <xf numFmtId="14" fontId="11" fillId="0" borderId="1" xfId="10" applyNumberFormat="1" applyFont="1" applyBorder="1" applyAlignment="1">
      <alignment horizontal="center" vertical="center" wrapText="1"/>
    </xf>
    <xf numFmtId="14" fontId="11" fillId="2" borderId="1" xfId="0" applyNumberFormat="1" applyFont="1" applyFill="1" applyBorder="1" applyAlignment="1">
      <alignment horizontal="center" vertical="center" wrapText="1"/>
    </xf>
    <xf numFmtId="43" fontId="11" fillId="0" borderId="1" xfId="1" applyFont="1" applyBorder="1" applyAlignment="1">
      <alignment horizontal="center" vertical="center" wrapText="1"/>
    </xf>
    <xf numFmtId="164" fontId="11" fillId="0" borderId="1" xfId="1" applyNumberFormat="1" applyFont="1" applyBorder="1" applyAlignment="1">
      <alignment horizontal="center" vertical="center" wrapText="1"/>
    </xf>
    <xf numFmtId="0" fontId="8" fillId="2" borderId="1" xfId="0" applyFont="1" applyFill="1" applyBorder="1" applyAlignment="1">
      <alignment horizontal="center" vertical="center" wrapText="1"/>
    </xf>
    <xf numFmtId="164" fontId="8" fillId="0" borderId="4" xfId="1" applyNumberFormat="1" applyFont="1" applyBorder="1" applyAlignment="1">
      <alignment horizontal="center" vertical="center"/>
    </xf>
    <xf numFmtId="0" fontId="8" fillId="0" borderId="1" xfId="11" applyFont="1" applyBorder="1" applyAlignment="1">
      <alignment horizontal="left" vertical="center" wrapText="1"/>
    </xf>
    <xf numFmtId="164" fontId="10" fillId="2" borderId="1" xfId="1" applyNumberFormat="1" applyFont="1" applyFill="1" applyBorder="1" applyAlignment="1">
      <alignment horizontal="center" vertical="center" wrapText="1"/>
    </xf>
    <xf numFmtId="164" fontId="8" fillId="2" borderId="1" xfId="1" applyNumberFormat="1" applyFont="1" applyFill="1" applyBorder="1" applyAlignment="1">
      <alignment horizontal="center" vertical="center" wrapText="1"/>
    </xf>
    <xf numFmtId="167" fontId="8" fillId="0" borderId="1" xfId="0" applyNumberFormat="1" applyFont="1" applyBorder="1" applyAlignment="1">
      <alignment horizontal="center" vertical="center" wrapText="1"/>
    </xf>
    <xf numFmtId="0" fontId="8" fillId="0" borderId="1" xfId="12" applyFont="1" applyBorder="1" applyAlignment="1">
      <alignment horizontal="left" vertical="center" wrapText="1"/>
    </xf>
    <xf numFmtId="0" fontId="11" fillId="0" borderId="1" xfId="12" applyFont="1" applyBorder="1" applyAlignment="1">
      <alignment horizontal="left" vertical="center" wrapText="1"/>
    </xf>
    <xf numFmtId="164" fontId="11" fillId="0" borderId="1" xfId="1" applyNumberFormat="1" applyFont="1" applyFill="1" applyBorder="1" applyAlignment="1">
      <alignment vertical="center"/>
    </xf>
    <xf numFmtId="0" fontId="11" fillId="0" borderId="1" xfId="13" applyFont="1" applyBorder="1" applyAlignment="1">
      <alignment vertical="center" wrapText="1"/>
    </xf>
    <xf numFmtId="164" fontId="8" fillId="2" borderId="1" xfId="1" applyNumberFormat="1" applyFont="1" applyFill="1" applyBorder="1" applyAlignment="1">
      <alignment horizontal="center"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left" vertical="center" wrapText="1"/>
    </xf>
    <xf numFmtId="14" fontId="8" fillId="2" borderId="1" xfId="2" applyNumberFormat="1" applyFont="1" applyFill="1" applyBorder="1" applyAlignment="1">
      <alignment horizontal="center" vertical="center" wrapText="1"/>
    </xf>
    <xf numFmtId="1" fontId="8" fillId="0" borderId="1" xfId="0" applyNumberFormat="1" applyFont="1" applyBorder="1" applyAlignment="1">
      <alignment horizontal="center" vertical="center"/>
    </xf>
    <xf numFmtId="14" fontId="11" fillId="0" borderId="1" xfId="2" applyNumberFormat="1" applyFont="1" applyBorder="1" applyAlignment="1">
      <alignment horizontal="center" vertical="center" wrapText="1"/>
    </xf>
    <xf numFmtId="0" fontId="11" fillId="2" borderId="1" xfId="8" applyFont="1" applyFill="1" applyBorder="1" applyAlignment="1">
      <alignment horizontal="center" vertical="center" wrapText="1"/>
    </xf>
    <xf numFmtId="0" fontId="11" fillId="2" borderId="1" xfId="8" applyFont="1" applyFill="1" applyBorder="1" applyAlignment="1">
      <alignment horizontal="left" vertical="center" wrapText="1"/>
    </xf>
    <xf numFmtId="14" fontId="11" fillId="2" borderId="1" xfId="8" applyNumberFormat="1" applyFont="1" applyFill="1" applyBorder="1" applyAlignment="1">
      <alignment horizontal="center" vertical="center" wrapText="1"/>
    </xf>
    <xf numFmtId="43" fontId="11" fillId="2" borderId="1" xfId="1" applyFont="1" applyFill="1" applyBorder="1" applyAlignment="1">
      <alignment horizontal="center" vertical="center" wrapText="1"/>
    </xf>
    <xf numFmtId="164" fontId="11" fillId="2" borderId="1" xfId="1" applyNumberFormat="1" applyFont="1" applyFill="1" applyBorder="1" applyAlignment="1">
      <alignment horizontal="center" vertical="center" wrapText="1"/>
    </xf>
    <xf numFmtId="164" fontId="8" fillId="0" borderId="1" xfId="1" applyNumberFormat="1" applyFont="1" applyBorder="1" applyAlignment="1">
      <alignment horizontal="left" vertical="center"/>
    </xf>
    <xf numFmtId="0" fontId="11" fillId="2" borderId="1" xfId="8" applyFont="1" applyFill="1" applyBorder="1" applyAlignment="1" applyProtection="1">
      <alignment horizontal="center" vertical="center" wrapText="1"/>
      <protection locked="0"/>
    </xf>
    <xf numFmtId="0" fontId="11" fillId="2" borderId="1" xfId="8" applyFont="1" applyFill="1" applyBorder="1" applyAlignment="1" applyProtection="1">
      <alignment horizontal="left" vertical="center" wrapText="1"/>
      <protection locked="0"/>
    </xf>
    <xf numFmtId="14" fontId="11" fillId="2" borderId="1" xfId="8" applyNumberFormat="1" applyFont="1" applyFill="1" applyBorder="1" applyAlignment="1" applyProtection="1">
      <alignment horizontal="center" vertical="center" wrapText="1"/>
      <protection locked="0"/>
    </xf>
    <xf numFmtId="43" fontId="11" fillId="2" borderId="1" xfId="1" applyFont="1" applyFill="1" applyBorder="1" applyAlignment="1" applyProtection="1">
      <alignment horizontal="center" vertical="center" wrapText="1"/>
      <protection locked="0"/>
    </xf>
    <xf numFmtId="49" fontId="11" fillId="2" borderId="1" xfId="8" applyNumberFormat="1" applyFont="1" applyFill="1" applyBorder="1" applyAlignment="1">
      <alignment horizontal="center" vertical="center" wrapText="1"/>
    </xf>
    <xf numFmtId="164" fontId="8" fillId="0" borderId="1" xfId="1" applyNumberFormat="1" applyFont="1" applyBorder="1" applyAlignment="1">
      <alignment horizontal="right" vertical="center"/>
    </xf>
    <xf numFmtId="0" fontId="8" fillId="2" borderId="0" xfId="0" applyFont="1" applyFill="1" applyAlignment="1">
      <alignment horizontal="left" vertical="center"/>
    </xf>
    <xf numFmtId="0" fontId="17" fillId="0" borderId="7" xfId="0" applyFont="1" applyBorder="1" applyAlignment="1">
      <alignment vertical="center" wrapText="1"/>
    </xf>
    <xf numFmtId="168" fontId="17" fillId="0" borderId="7" xfId="0" applyNumberFormat="1" applyFont="1" applyBorder="1" applyAlignment="1">
      <alignment vertical="center"/>
    </xf>
    <xf numFmtId="0" fontId="17" fillId="0" borderId="7" xfId="0" applyFont="1" applyBorder="1" applyAlignment="1">
      <alignment horizontal="center" vertical="center" wrapText="1"/>
    </xf>
    <xf numFmtId="14" fontId="17" fillId="0" borderId="7" xfId="0" applyNumberFormat="1" applyFont="1" applyBorder="1" applyAlignment="1">
      <alignment horizontal="center" vertical="center" wrapText="1"/>
    </xf>
    <xf numFmtId="43" fontId="8" fillId="0" borderId="1" xfId="1" applyFont="1" applyFill="1" applyBorder="1" applyAlignment="1">
      <alignment horizontal="center" vertical="center" wrapText="1"/>
    </xf>
    <xf numFmtId="0" fontId="17" fillId="0" borderId="0" xfId="0" applyFont="1" applyAlignment="1">
      <alignment horizontal="left" vertical="center" wrapText="1"/>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166" fontId="8" fillId="0" borderId="1" xfId="1" applyNumberFormat="1" applyFont="1" applyBorder="1" applyAlignment="1">
      <alignment horizontal="center" vertical="center" wrapText="1"/>
    </xf>
    <xf numFmtId="43" fontId="8" fillId="0" borderId="1" xfId="1" applyFont="1" applyFill="1" applyBorder="1" applyAlignment="1">
      <alignment horizontal="right" vertical="center"/>
    </xf>
    <xf numFmtId="164" fontId="8" fillId="0" borderId="1" xfId="1" applyNumberFormat="1" applyFont="1" applyFill="1" applyBorder="1" applyAlignment="1">
      <alignment horizontal="left" vertical="center" wrapText="1"/>
    </xf>
    <xf numFmtId="164" fontId="17" fillId="0" borderId="1" xfId="1" applyNumberFormat="1" applyFont="1" applyFill="1" applyBorder="1" applyAlignment="1" applyProtection="1">
      <alignment vertical="center"/>
    </xf>
    <xf numFmtId="43" fontId="17" fillId="0" borderId="1" xfId="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8" fillId="0" borderId="1" xfId="1" applyNumberFormat="1" applyFont="1" applyFill="1" applyBorder="1" applyAlignment="1" applyProtection="1">
      <alignment horizontal="center" vertical="center"/>
    </xf>
    <xf numFmtId="43" fontId="8" fillId="0" borderId="1" xfId="1" applyFont="1" applyFill="1" applyBorder="1" applyAlignment="1" applyProtection="1">
      <alignment horizontal="center" vertical="center"/>
    </xf>
    <xf numFmtId="43" fontId="8" fillId="0" borderId="5" xfId="1" applyFont="1" applyFill="1" applyBorder="1" applyAlignment="1">
      <alignment horizontal="right" vertical="center"/>
    </xf>
    <xf numFmtId="166" fontId="8" fillId="2" borderId="0" xfId="1" applyNumberFormat="1" applyFont="1" applyFill="1" applyAlignment="1">
      <alignment vertical="center"/>
    </xf>
    <xf numFmtId="164" fontId="8" fillId="0" borderId="5" xfId="1" applyNumberFormat="1" applyFont="1" applyFill="1" applyBorder="1" applyAlignment="1">
      <alignment horizontal="left" vertical="center" wrapText="1"/>
    </xf>
    <xf numFmtId="164" fontId="8" fillId="0" borderId="1" xfId="1" applyNumberFormat="1" applyFont="1" applyFill="1" applyBorder="1" applyAlignment="1">
      <alignment horizontal="right" vertical="center" wrapText="1"/>
    </xf>
    <xf numFmtId="0" fontId="9" fillId="2" borderId="0" xfId="0" applyFont="1" applyFill="1" applyAlignment="1">
      <alignment horizontal="center" vertical="center" wrapText="1"/>
    </xf>
    <xf numFmtId="164" fontId="16" fillId="3" borderId="1" xfId="1" applyNumberFormat="1" applyFont="1" applyFill="1" applyBorder="1" applyAlignment="1">
      <alignment horizontal="center" vertical="center" wrapText="1"/>
    </xf>
    <xf numFmtId="43" fontId="16" fillId="3" borderId="1" xfId="1"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43" fontId="11" fillId="0" borderId="1" xfId="1" applyFont="1" applyFill="1" applyBorder="1" applyAlignment="1">
      <alignment horizontal="center" vertical="center" wrapText="1"/>
    </xf>
    <xf numFmtId="0" fontId="8" fillId="0" borderId="0" xfId="0" applyFont="1" applyAlignment="1">
      <alignment horizontal="center" vertical="center"/>
    </xf>
    <xf numFmtId="49" fontId="8" fillId="0" borderId="1" xfId="1" applyNumberFormat="1" applyFont="1" applyFill="1" applyBorder="1" applyAlignment="1">
      <alignment horizontal="left" vertical="center" wrapText="1"/>
    </xf>
    <xf numFmtId="49" fontId="8" fillId="0" borderId="1" xfId="1" applyNumberFormat="1" applyFont="1" applyFill="1" applyBorder="1" applyAlignment="1">
      <alignment horizontal="center" vertical="center"/>
    </xf>
    <xf numFmtId="0" fontId="8" fillId="0" borderId="0" xfId="0" applyFont="1" applyAlignment="1">
      <alignment horizontal="left" vertical="center"/>
    </xf>
    <xf numFmtId="0" fontId="16" fillId="3" borderId="1" xfId="0" applyFont="1" applyFill="1" applyBorder="1" applyAlignment="1">
      <alignment horizontal="center" vertical="center" wrapText="1"/>
    </xf>
    <xf numFmtId="43" fontId="8" fillId="0" borderId="1" xfId="1" applyFont="1" applyBorder="1" applyAlignment="1">
      <alignment horizontal="left" vertical="center" wrapText="1"/>
    </xf>
    <xf numFmtId="0" fontId="17" fillId="0" borderId="1" xfId="0" applyFont="1" applyBorder="1" applyAlignment="1">
      <alignment horizontal="left" vertical="center" wrapText="1"/>
    </xf>
    <xf numFmtId="43" fontId="8" fillId="0" borderId="1" xfId="1" applyFont="1" applyFill="1" applyBorder="1" applyAlignment="1">
      <alignment horizontal="left" vertical="center" wrapText="1"/>
    </xf>
    <xf numFmtId="0" fontId="9" fillId="0" borderId="0" xfId="0" applyFont="1" applyAlignment="1">
      <alignment horizontal="center" vertical="center" wrapText="1"/>
    </xf>
    <xf numFmtId="49" fontId="8" fillId="0" borderId="1" xfId="1" applyNumberFormat="1" applyFont="1" applyBorder="1" applyAlignment="1">
      <alignment horizontal="center" vertical="center"/>
    </xf>
    <xf numFmtId="49" fontId="8" fillId="0" borderId="1" xfId="1" applyNumberFormat="1" applyFont="1" applyBorder="1" applyAlignment="1">
      <alignment horizontal="left" vertical="center" wrapText="1"/>
    </xf>
    <xf numFmtId="49" fontId="8" fillId="0" borderId="1" xfId="1" applyNumberFormat="1" applyFont="1" applyBorder="1" applyAlignment="1">
      <alignment horizontal="left" vertical="top" wrapText="1"/>
    </xf>
    <xf numFmtId="164" fontId="16" fillId="3" borderId="2" xfId="1" applyNumberFormat="1" applyFont="1" applyFill="1" applyBorder="1" applyAlignment="1">
      <alignment horizontal="center" vertical="center" wrapText="1"/>
    </xf>
    <xf numFmtId="168" fontId="17" fillId="0" borderId="10" xfId="0" applyNumberFormat="1" applyFont="1" applyBorder="1" applyAlignment="1">
      <alignment vertical="center"/>
    </xf>
    <xf numFmtId="164" fontId="11" fillId="2" borderId="5" xfId="1" applyNumberFormat="1" applyFont="1" applyFill="1" applyBorder="1" applyAlignment="1">
      <alignment horizontal="center" vertical="center" wrapText="1"/>
    </xf>
    <xf numFmtId="164" fontId="21" fillId="0" borderId="1" xfId="1" applyNumberFormat="1" applyFont="1" applyFill="1" applyBorder="1" applyAlignment="1">
      <alignment vertical="center"/>
    </xf>
    <xf numFmtId="164" fontId="17" fillId="0" borderId="1" xfId="1" applyNumberFormat="1" applyFont="1" applyFill="1" applyBorder="1" applyAlignment="1">
      <alignment horizontal="center" vertical="center" wrapText="1"/>
    </xf>
    <xf numFmtId="164" fontId="8" fillId="0" borderId="6" xfId="1" applyNumberFormat="1" applyFont="1" applyFill="1" applyBorder="1" applyAlignment="1">
      <alignment vertical="center"/>
    </xf>
    <xf numFmtId="43" fontId="17" fillId="0" borderId="7" xfId="1" applyFont="1" applyFill="1" applyBorder="1" applyAlignment="1">
      <alignment vertical="center"/>
    </xf>
    <xf numFmtId="166" fontId="8" fillId="0" borderId="1" xfId="1" applyNumberFormat="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 xfId="0" applyFont="1" applyFill="1" applyBorder="1" applyAlignment="1">
      <alignment horizontal="center" vertical="center" wrapText="1"/>
    </xf>
    <xf numFmtId="43" fontId="9" fillId="3" borderId="1" xfId="1" applyFont="1" applyFill="1" applyBorder="1" applyAlignment="1">
      <alignment horizontal="center" vertical="center" wrapText="1"/>
    </xf>
    <xf numFmtId="9" fontId="8" fillId="0" borderId="0" xfId="15" applyFont="1" applyAlignment="1">
      <alignment vertical="center"/>
    </xf>
    <xf numFmtId="43" fontId="9" fillId="3" borderId="5" xfId="1" applyFont="1" applyFill="1" applyBorder="1" applyAlignment="1">
      <alignment horizontal="center" vertical="center" wrapText="1"/>
    </xf>
    <xf numFmtId="0" fontId="8" fillId="0" borderId="0" xfId="0" applyFont="1"/>
    <xf numFmtId="0" fontId="21" fillId="3" borderId="0" xfId="0" applyFont="1" applyFill="1" applyAlignment="1">
      <alignment horizontal="center" vertical="center"/>
    </xf>
    <xf numFmtId="0" fontId="21" fillId="3" borderId="0" xfId="0" applyFont="1" applyFill="1" applyAlignment="1">
      <alignment horizontal="center" vertical="center" wrapText="1"/>
    </xf>
    <xf numFmtId="0" fontId="24" fillId="3" borderId="0" xfId="0" applyFont="1" applyFill="1" applyAlignment="1">
      <alignment horizontal="center" vertical="center" wrapText="1"/>
    </xf>
    <xf numFmtId="0" fontId="9" fillId="3" borderId="0" xfId="0" applyFont="1" applyFill="1" applyAlignment="1">
      <alignment horizontal="center" vertical="center" wrapText="1"/>
    </xf>
    <xf numFmtId="164" fontId="9" fillId="2" borderId="0" xfId="1" applyNumberFormat="1" applyFont="1" applyFill="1" applyAlignment="1">
      <alignment vertical="center"/>
    </xf>
    <xf numFmtId="0" fontId="9" fillId="0" borderId="0" xfId="0" applyFont="1" applyAlignment="1">
      <alignment horizontal="right" vertical="center"/>
    </xf>
    <xf numFmtId="0" fontId="9" fillId="2" borderId="0" xfId="0" applyFont="1" applyFill="1" applyAlignment="1">
      <alignment horizontal="right" vertical="center"/>
    </xf>
    <xf numFmtId="43" fontId="9" fillId="2" borderId="0" xfId="1" applyFont="1" applyFill="1" applyAlignment="1">
      <alignment vertical="center"/>
    </xf>
    <xf numFmtId="164" fontId="9" fillId="2" borderId="0" xfId="0" applyNumberFormat="1" applyFont="1" applyFill="1" applyAlignment="1">
      <alignment vertical="center"/>
    </xf>
    <xf numFmtId="0" fontId="10" fillId="2" borderId="0" xfId="0" applyFont="1" applyFill="1" applyAlignment="1">
      <alignment vertical="center"/>
    </xf>
    <xf numFmtId="43" fontId="9" fillId="0" borderId="0" xfId="1" applyFont="1" applyAlignment="1">
      <alignment vertical="center"/>
    </xf>
    <xf numFmtId="43" fontId="8" fillId="0" borderId="0" xfId="1" applyFont="1" applyBorder="1" applyAlignment="1">
      <alignment vertical="center"/>
    </xf>
    <xf numFmtId="9" fontId="10" fillId="0" borderId="0" xfId="15" applyFont="1" applyBorder="1" applyAlignment="1">
      <alignment vertical="center"/>
    </xf>
    <xf numFmtId="0" fontId="10" fillId="0" borderId="0" xfId="0" applyFont="1" applyAlignment="1">
      <alignment vertical="center"/>
    </xf>
    <xf numFmtId="43" fontId="10" fillId="0" borderId="0" xfId="1" applyFont="1" applyBorder="1" applyAlignment="1">
      <alignment vertical="center"/>
    </xf>
    <xf numFmtId="0" fontId="8" fillId="0" borderId="0" xfId="0" applyFont="1" applyAlignment="1">
      <alignment vertical="center" wrapText="1"/>
    </xf>
    <xf numFmtId="0" fontId="21" fillId="3" borderId="11" xfId="0" applyFont="1" applyFill="1" applyBorder="1" applyAlignment="1">
      <alignment horizontal="center" vertical="center"/>
    </xf>
    <xf numFmtId="0" fontId="24" fillId="3" borderId="11" xfId="0" applyFont="1" applyFill="1" applyBorder="1" applyAlignment="1">
      <alignment horizontal="center" vertical="center" wrapText="1"/>
    </xf>
    <xf numFmtId="9" fontId="10" fillId="0" borderId="11" xfId="15" applyFont="1" applyBorder="1" applyAlignment="1">
      <alignment vertical="center"/>
    </xf>
    <xf numFmtId="43" fontId="10" fillId="0" borderId="11" xfId="1" applyFont="1" applyBorder="1" applyAlignment="1">
      <alignment vertical="center"/>
    </xf>
    <xf numFmtId="0" fontId="21" fillId="3" borderId="13" xfId="0" applyFont="1" applyFill="1" applyBorder="1" applyAlignment="1">
      <alignment horizontal="center" vertical="center" wrapText="1"/>
    </xf>
    <xf numFmtId="43" fontId="8" fillId="0" borderId="13" xfId="1" applyFont="1" applyBorder="1" applyAlignment="1">
      <alignment vertical="center"/>
    </xf>
    <xf numFmtId="0" fontId="10" fillId="0" borderId="11" xfId="0" applyFont="1" applyBorder="1" applyAlignment="1">
      <alignment vertical="center"/>
    </xf>
    <xf numFmtId="0" fontId="21" fillId="3" borderId="11" xfId="0" applyFont="1" applyFill="1" applyBorder="1" applyAlignment="1">
      <alignment horizontal="center" vertical="center" wrapText="1"/>
    </xf>
    <xf numFmtId="0" fontId="9" fillId="0" borderId="11" xfId="0" applyFont="1" applyBorder="1" applyAlignment="1">
      <alignment vertical="center"/>
    </xf>
    <xf numFmtId="43" fontId="9" fillId="0" borderId="11" xfId="1" applyFont="1" applyBorder="1" applyAlignment="1">
      <alignment vertical="center"/>
    </xf>
    <xf numFmtId="0" fontId="8" fillId="0" borderId="11" xfId="0" applyFont="1" applyBorder="1" applyAlignment="1">
      <alignment vertical="center"/>
    </xf>
    <xf numFmtId="43" fontId="8" fillId="0" borderId="11" xfId="1" applyFont="1" applyBorder="1" applyAlignment="1">
      <alignment vertical="center"/>
    </xf>
    <xf numFmtId="164" fontId="8" fillId="0" borderId="0" xfId="0" applyNumberFormat="1" applyFont="1" applyAlignment="1">
      <alignment vertical="center"/>
    </xf>
    <xf numFmtId="9" fontId="10" fillId="0" borderId="0" xfId="15" applyFont="1" applyAlignment="1">
      <alignment vertical="center"/>
    </xf>
    <xf numFmtId="0" fontId="9" fillId="3" borderId="11" xfId="0" applyFont="1" applyFill="1" applyBorder="1" applyAlignment="1">
      <alignment horizontal="center" vertical="center" wrapText="1"/>
    </xf>
    <xf numFmtId="164" fontId="8" fillId="0" borderId="13" xfId="1" applyNumberFormat="1" applyFont="1" applyBorder="1" applyAlignment="1">
      <alignment vertical="center"/>
    </xf>
    <xf numFmtId="0" fontId="9" fillId="3" borderId="13" xfId="0" applyFont="1" applyFill="1" applyBorder="1" applyAlignment="1">
      <alignment horizontal="center" vertical="center" wrapText="1"/>
    </xf>
    <xf numFmtId="164" fontId="9" fillId="0" borderId="0" xfId="1" applyNumberFormat="1" applyFont="1" applyAlignment="1">
      <alignment vertical="center"/>
    </xf>
    <xf numFmtId="164" fontId="16" fillId="0" borderId="0" xfId="1" applyNumberFormat="1" applyFont="1" applyAlignment="1">
      <alignment vertical="center"/>
    </xf>
    <xf numFmtId="164" fontId="8" fillId="0" borderId="0" xfId="1" applyNumberFormat="1" applyFont="1" applyBorder="1" applyAlignment="1">
      <alignment vertical="center"/>
    </xf>
    <xf numFmtId="164" fontId="8" fillId="0" borderId="11" xfId="1" applyNumberFormat="1" applyFont="1" applyBorder="1" applyAlignment="1">
      <alignment vertical="center"/>
    </xf>
    <xf numFmtId="43" fontId="10" fillId="0" borderId="0" xfId="1" applyFont="1"/>
    <xf numFmtId="43" fontId="8" fillId="0" borderId="0" xfId="1" applyFont="1"/>
    <xf numFmtId="0" fontId="10" fillId="0" borderId="0" xfId="0" applyFont="1"/>
    <xf numFmtId="43" fontId="9" fillId="0" borderId="0" xfId="0" applyNumberFormat="1" applyFont="1" applyAlignment="1">
      <alignment vertical="center"/>
    </xf>
    <xf numFmtId="0" fontId="24" fillId="3" borderId="0" xfId="0" applyFont="1" applyFill="1" applyAlignment="1">
      <alignment horizontal="center" vertical="center"/>
    </xf>
    <xf numFmtId="0" fontId="24" fillId="3" borderId="11" xfId="0" applyFont="1" applyFill="1" applyBorder="1" applyAlignment="1">
      <alignment horizontal="center" vertical="center"/>
    </xf>
    <xf numFmtId="0" fontId="8" fillId="0" borderId="13" xfId="0" applyFont="1" applyBorder="1" applyAlignment="1">
      <alignment vertical="center"/>
    </xf>
    <xf numFmtId="0" fontId="16" fillId="3" borderId="0" xfId="0" applyFont="1" applyFill="1" applyAlignment="1">
      <alignment horizontal="center" vertical="center" wrapText="1"/>
    </xf>
    <xf numFmtId="164" fontId="9" fillId="0" borderId="0" xfId="0" applyNumberFormat="1" applyFont="1" applyAlignment="1">
      <alignment vertical="center"/>
    </xf>
    <xf numFmtId="0" fontId="21" fillId="3" borderId="16" xfId="0" applyFont="1" applyFill="1" applyBorder="1" applyAlignment="1">
      <alignment horizontal="center" vertical="center" wrapText="1"/>
    </xf>
    <xf numFmtId="164" fontId="10" fillId="0" borderId="0" xfId="1" applyNumberFormat="1" applyFont="1" applyBorder="1" applyAlignment="1">
      <alignment vertical="center"/>
    </xf>
    <xf numFmtId="164" fontId="9" fillId="0" borderId="13" xfId="1" applyNumberFormat="1" applyFont="1" applyBorder="1" applyAlignment="1">
      <alignment vertical="center"/>
    </xf>
    <xf numFmtId="164" fontId="8" fillId="0" borderId="12" xfId="1" applyNumberFormat="1" applyFont="1" applyBorder="1" applyAlignment="1">
      <alignment vertical="center"/>
    </xf>
    <xf numFmtId="43" fontId="9" fillId="2" borderId="0" xfId="1" applyFont="1" applyFill="1" applyAlignment="1">
      <alignment horizontal="center" vertical="center" wrapText="1"/>
    </xf>
    <xf numFmtId="43" fontId="21" fillId="3" borderId="0" xfId="1" applyFont="1" applyFill="1" applyBorder="1" applyAlignment="1">
      <alignment horizontal="center" vertical="center" wrapText="1"/>
    </xf>
    <xf numFmtId="43" fontId="8" fillId="2" borderId="0" xfId="1" applyFont="1" applyFill="1" applyAlignment="1">
      <alignment vertical="center" wrapText="1"/>
    </xf>
    <xf numFmtId="43" fontId="21" fillId="3" borderId="13" xfId="1" applyFont="1" applyFill="1" applyBorder="1" applyAlignment="1">
      <alignment horizontal="center" vertical="center" wrapText="1"/>
    </xf>
    <xf numFmtId="164" fontId="9" fillId="2" borderId="0" xfId="1" applyNumberFormat="1" applyFont="1" applyFill="1" applyAlignment="1">
      <alignment horizontal="center" vertical="center" wrapText="1"/>
    </xf>
    <xf numFmtId="164" fontId="21" fillId="3" borderId="0" xfId="1" applyNumberFormat="1" applyFont="1" applyFill="1" applyBorder="1" applyAlignment="1">
      <alignment horizontal="center" vertical="center" wrapText="1"/>
    </xf>
    <xf numFmtId="164" fontId="24" fillId="3" borderId="0" xfId="1" applyNumberFormat="1" applyFont="1" applyFill="1" applyBorder="1" applyAlignment="1">
      <alignment horizontal="center" vertical="center" wrapText="1"/>
    </xf>
    <xf numFmtId="164" fontId="21" fillId="3" borderId="5" xfId="1" applyNumberFormat="1" applyFont="1" applyFill="1" applyBorder="1" applyAlignment="1">
      <alignment horizontal="center" vertical="center" wrapText="1"/>
    </xf>
    <xf numFmtId="164" fontId="21" fillId="3" borderId="0" xfId="1" applyNumberFormat="1" applyFont="1" applyFill="1" applyAlignment="1">
      <alignment horizontal="center" vertical="center" wrapText="1"/>
    </xf>
    <xf numFmtId="164" fontId="9" fillId="3" borderId="11" xfId="1" applyNumberFormat="1" applyFont="1" applyFill="1" applyBorder="1" applyAlignment="1">
      <alignment horizontal="center" vertical="center" wrapText="1"/>
    </xf>
    <xf numFmtId="164" fontId="9" fillId="3" borderId="13" xfId="1" applyNumberFormat="1" applyFont="1" applyFill="1" applyBorder="1" applyAlignment="1">
      <alignment horizontal="center" vertical="center" wrapText="1"/>
    </xf>
    <xf numFmtId="9" fontId="16" fillId="2" borderId="0" xfId="15" applyFont="1" applyFill="1" applyAlignment="1">
      <alignment horizontal="center" vertical="center" wrapText="1"/>
    </xf>
    <xf numFmtId="9" fontId="24" fillId="3" borderId="11" xfId="15" applyFont="1" applyFill="1" applyBorder="1" applyAlignment="1">
      <alignment horizontal="center" vertical="center" wrapText="1"/>
    </xf>
    <xf numFmtId="9" fontId="10" fillId="2" borderId="0" xfId="15" applyFont="1" applyFill="1" applyAlignment="1">
      <alignment vertical="center"/>
    </xf>
    <xf numFmtId="9" fontId="10" fillId="2" borderId="0" xfId="15" applyFont="1" applyFill="1" applyAlignment="1">
      <alignment vertical="center" wrapText="1"/>
    </xf>
    <xf numFmtId="43" fontId="9" fillId="2" borderId="0" xfId="1" applyFont="1" applyFill="1" applyAlignment="1">
      <alignment horizontal="center" vertical="center"/>
    </xf>
    <xf numFmtId="164" fontId="9" fillId="2" borderId="0" xfId="1" applyNumberFormat="1" applyFont="1" applyFill="1" applyAlignment="1">
      <alignment horizontal="center" vertical="center"/>
    </xf>
    <xf numFmtId="43" fontId="9" fillId="2" borderId="0" xfId="1" applyFont="1" applyFill="1" applyAlignment="1">
      <alignment vertical="center" wrapText="1"/>
    </xf>
    <xf numFmtId="164" fontId="9" fillId="2" borderId="0" xfId="1" applyNumberFormat="1" applyFont="1" applyFill="1" applyAlignment="1">
      <alignment vertical="center" wrapText="1"/>
    </xf>
    <xf numFmtId="164" fontId="21" fillId="3" borderId="11" xfId="1" applyNumberFormat="1" applyFont="1" applyFill="1" applyBorder="1" applyAlignment="1">
      <alignment horizontal="center" vertical="center" wrapText="1"/>
    </xf>
    <xf numFmtId="43" fontId="9" fillId="2" borderId="0" xfId="1" applyFont="1" applyFill="1" applyAlignment="1">
      <alignment horizontal="right" vertical="center" wrapText="1"/>
    </xf>
    <xf numFmtId="10" fontId="21" fillId="3" borderId="0" xfId="0" applyNumberFormat="1" applyFont="1" applyFill="1" applyAlignment="1">
      <alignment horizontal="center" vertical="center"/>
    </xf>
    <xf numFmtId="10" fontId="21" fillId="3" borderId="0" xfId="0" applyNumberFormat="1" applyFont="1" applyFill="1" applyAlignment="1">
      <alignment horizontal="center" vertical="center" wrapText="1"/>
    </xf>
    <xf numFmtId="3" fontId="21" fillId="3" borderId="0" xfId="0" applyNumberFormat="1" applyFont="1" applyFill="1" applyAlignment="1">
      <alignment horizontal="center" vertical="center" wrapText="1"/>
    </xf>
    <xf numFmtId="43" fontId="9" fillId="0" borderId="0" xfId="0" applyNumberFormat="1" applyFont="1" applyAlignment="1">
      <alignment horizontal="left" vertical="center"/>
    </xf>
    <xf numFmtId="164" fontId="8" fillId="0" borderId="0" xfId="1" applyNumberFormat="1" applyFont="1" applyFill="1" applyBorder="1" applyAlignment="1">
      <alignment horizontal="right" vertical="center"/>
    </xf>
    <xf numFmtId="164" fontId="8" fillId="0" borderId="0" xfId="1" applyNumberFormat="1" applyFont="1" applyFill="1" applyBorder="1" applyAlignment="1">
      <alignment horizontal="right" vertical="center" wrapText="1"/>
    </xf>
    <xf numFmtId="164" fontId="8" fillId="0" borderId="0" xfId="1" applyNumberFormat="1" applyFont="1" applyFill="1" applyBorder="1" applyAlignment="1">
      <alignment horizontal="center" vertical="center" wrapText="1"/>
    </xf>
    <xf numFmtId="164" fontId="8" fillId="0" borderId="0" xfId="1" applyNumberFormat="1" applyFont="1" applyBorder="1" applyAlignment="1">
      <alignment horizontal="center" vertical="center" wrapText="1"/>
    </xf>
    <xf numFmtId="164" fontId="8" fillId="0" borderId="0" xfId="1" applyNumberFormat="1" applyFont="1" applyBorder="1" applyAlignment="1" applyProtection="1">
      <alignment horizontal="center" vertical="center" wrapText="1"/>
    </xf>
    <xf numFmtId="164" fontId="8" fillId="0" borderId="0" xfId="1" applyNumberFormat="1" applyFont="1" applyBorder="1" applyAlignment="1">
      <alignment horizontal="center" vertical="center"/>
    </xf>
    <xf numFmtId="164" fontId="8" fillId="0" borderId="0" xfId="1" applyNumberFormat="1" applyFont="1" applyFill="1" applyBorder="1" applyAlignment="1">
      <alignment vertical="center"/>
    </xf>
    <xf numFmtId="164" fontId="11" fillId="2" borderId="0" xfId="1" applyNumberFormat="1" applyFont="1" applyFill="1" applyBorder="1" applyAlignment="1">
      <alignment horizontal="center" vertical="center" wrapText="1"/>
    </xf>
    <xf numFmtId="164" fontId="8" fillId="2" borderId="0" xfId="1" applyNumberFormat="1" applyFont="1" applyFill="1" applyBorder="1" applyAlignment="1">
      <alignment horizontal="center" vertical="center"/>
    </xf>
    <xf numFmtId="9" fontId="8" fillId="0" borderId="1" xfId="15" applyFont="1" applyFill="1" applyBorder="1" applyAlignment="1">
      <alignment horizontal="center" vertical="center" wrapText="1"/>
    </xf>
    <xf numFmtId="9" fontId="9" fillId="0" borderId="0" xfId="15" applyFont="1" applyAlignment="1">
      <alignment horizontal="right" vertical="center"/>
    </xf>
    <xf numFmtId="0" fontId="27" fillId="6" borderId="1" xfId="0" applyFont="1" applyFill="1" applyBorder="1" applyAlignment="1">
      <alignment horizontal="left" vertical="center" wrapText="1"/>
    </xf>
    <xf numFmtId="170" fontId="27" fillId="6" borderId="1" xfId="1" applyNumberFormat="1" applyFont="1" applyFill="1" applyBorder="1" applyAlignment="1">
      <alignment vertical="center" wrapText="1"/>
    </xf>
    <xf numFmtId="10" fontId="27" fillId="6" borderId="1" xfId="15" applyNumberFormat="1" applyFont="1" applyFill="1" applyBorder="1" applyAlignment="1">
      <alignment vertical="center" wrapText="1"/>
    </xf>
    <xf numFmtId="0" fontId="27" fillId="7" borderId="1" xfId="0" applyFont="1" applyFill="1" applyBorder="1" applyAlignment="1">
      <alignment horizontal="left" vertical="center" wrapText="1"/>
    </xf>
    <xf numFmtId="170" fontId="27" fillId="7" borderId="1" xfId="1" applyNumberFormat="1" applyFont="1" applyFill="1" applyBorder="1" applyAlignment="1">
      <alignment vertical="center" wrapText="1"/>
    </xf>
    <xf numFmtId="10" fontId="27" fillId="7" borderId="1" xfId="15" applyNumberFormat="1" applyFont="1" applyFill="1" applyBorder="1" applyAlignment="1">
      <alignment vertical="center" wrapText="1"/>
    </xf>
    <xf numFmtId="0" fontId="26" fillId="5" borderId="18" xfId="0" applyFont="1" applyFill="1" applyBorder="1" applyAlignment="1">
      <alignment vertical="center" wrapText="1"/>
    </xf>
    <xf numFmtId="170" fontId="26" fillId="5" borderId="18" xfId="1" applyNumberFormat="1" applyFont="1" applyFill="1" applyBorder="1" applyAlignment="1">
      <alignment vertical="center" wrapText="1"/>
    </xf>
    <xf numFmtId="10" fontId="26" fillId="5" borderId="18" xfId="15" applyNumberFormat="1" applyFont="1" applyFill="1" applyBorder="1" applyAlignment="1">
      <alignment vertical="center" wrapText="1"/>
    </xf>
    <xf numFmtId="0" fontId="25" fillId="0" borderId="0" xfId="0" applyFont="1" applyAlignment="1">
      <alignment vertical="center"/>
    </xf>
    <xf numFmtId="171" fontId="25" fillId="0" borderId="0" xfId="16" applyNumberFormat="1" applyFont="1" applyAlignment="1">
      <alignment vertical="center"/>
    </xf>
    <xf numFmtId="172" fontId="25" fillId="0" borderId="0" xfId="16" applyNumberFormat="1" applyFont="1" applyAlignment="1">
      <alignment vertical="center"/>
    </xf>
    <xf numFmtId="171" fontId="29" fillId="9" borderId="1" xfId="16" applyNumberFormat="1" applyFont="1" applyFill="1" applyBorder="1" applyAlignment="1">
      <alignment horizontal="center" vertical="center"/>
    </xf>
    <xf numFmtId="172" fontId="29" fillId="9" borderId="1" xfId="16" applyNumberFormat="1" applyFont="1" applyFill="1" applyBorder="1" applyAlignment="1">
      <alignment horizontal="center" vertical="center"/>
    </xf>
    <xf numFmtId="0" fontId="25" fillId="0" borderId="0" xfId="0" applyFont="1" applyAlignment="1">
      <alignment horizontal="center" vertical="center"/>
    </xf>
    <xf numFmtId="0" fontId="25" fillId="0" borderId="1" xfId="0" applyFont="1" applyBorder="1" applyAlignment="1">
      <alignment vertical="center"/>
    </xf>
    <xf numFmtId="171" fontId="30" fillId="0" borderId="1" xfId="16" applyNumberFormat="1" applyFont="1" applyBorder="1" applyAlignment="1">
      <alignment horizontal="center" vertical="center"/>
    </xf>
    <xf numFmtId="172" fontId="30" fillId="0" borderId="1" xfId="16" applyNumberFormat="1" applyFont="1" applyBorder="1" applyAlignment="1">
      <alignment horizontal="center" vertical="center"/>
    </xf>
    <xf numFmtId="171" fontId="25" fillId="0" borderId="1" xfId="16" applyNumberFormat="1" applyFont="1" applyBorder="1" applyAlignment="1">
      <alignment horizontal="center" vertical="center"/>
    </xf>
    <xf numFmtId="171" fontId="29" fillId="0" borderId="1" xfId="16" applyNumberFormat="1" applyFont="1" applyBorder="1" applyAlignment="1">
      <alignment vertical="center"/>
    </xf>
    <xf numFmtId="171" fontId="25" fillId="0" borderId="0" xfId="0" applyNumberFormat="1" applyFont="1" applyAlignment="1">
      <alignment vertical="center"/>
    </xf>
    <xf numFmtId="0" fontId="29" fillId="4" borderId="1" xfId="0" applyFont="1" applyFill="1" applyBorder="1" applyAlignment="1">
      <alignment horizontal="center" vertical="center"/>
    </xf>
    <xf numFmtId="171" fontId="31" fillId="4" borderId="1" xfId="16" applyNumberFormat="1" applyFont="1" applyFill="1" applyBorder="1" applyAlignment="1">
      <alignment horizontal="center" vertical="center"/>
    </xf>
    <xf numFmtId="172" fontId="31" fillId="4" borderId="1" xfId="16" applyNumberFormat="1" applyFont="1" applyFill="1" applyBorder="1" applyAlignment="1">
      <alignment horizontal="center" vertical="center"/>
    </xf>
    <xf numFmtId="171" fontId="29" fillId="4" borderId="1" xfId="16" applyNumberFormat="1" applyFont="1" applyFill="1" applyBorder="1" applyAlignment="1">
      <alignment vertical="center"/>
    </xf>
    <xf numFmtId="172" fontId="25" fillId="0" borderId="1" xfId="16" applyNumberFormat="1" applyFont="1" applyBorder="1" applyAlignment="1">
      <alignment horizontal="center" vertical="center"/>
    </xf>
    <xf numFmtId="171" fontId="31" fillId="0" borderId="1" xfId="16" applyNumberFormat="1" applyFont="1" applyBorder="1" applyAlignment="1">
      <alignment horizontal="center" vertical="center"/>
    </xf>
    <xf numFmtId="172" fontId="29" fillId="4" borderId="1" xfId="16" applyNumberFormat="1" applyFont="1" applyFill="1" applyBorder="1" applyAlignment="1">
      <alignment horizontal="center" vertical="center"/>
    </xf>
    <xf numFmtId="171" fontId="25" fillId="0" borderId="1" xfId="16" applyNumberFormat="1" applyFont="1" applyBorder="1" applyAlignment="1">
      <alignment vertical="center"/>
    </xf>
    <xf numFmtId="0" fontId="29" fillId="0" borderId="1" xfId="0" applyFont="1" applyBorder="1" applyAlignment="1">
      <alignment horizontal="center" vertical="center"/>
    </xf>
    <xf numFmtId="0" fontId="27" fillId="11" borderId="1" xfId="0" applyFont="1" applyFill="1" applyBorder="1" applyAlignment="1">
      <alignment horizontal="left" vertical="center" wrapText="1"/>
    </xf>
    <xf numFmtId="170" fontId="27" fillId="11" borderId="1" xfId="1" applyNumberFormat="1" applyFont="1" applyFill="1" applyBorder="1" applyAlignment="1">
      <alignment vertical="center" wrapText="1"/>
    </xf>
    <xf numFmtId="10" fontId="27" fillId="11" borderId="1" xfId="15" applyNumberFormat="1" applyFont="1" applyFill="1" applyBorder="1" applyAlignment="1">
      <alignment vertical="center" wrapText="1"/>
    </xf>
    <xf numFmtId="0" fontId="32" fillId="4" borderId="0" xfId="0" applyFont="1" applyFill="1" applyAlignment="1">
      <alignment horizontal="center" vertical="center"/>
    </xf>
    <xf numFmtId="0" fontId="32" fillId="4" borderId="0" xfId="0" applyFont="1" applyFill="1" applyAlignment="1">
      <alignment horizontal="center" vertical="center" wrapText="1"/>
    </xf>
    <xf numFmtId="0" fontId="0" fillId="8" borderId="0" xfId="0" applyFill="1" applyAlignment="1">
      <alignment vertical="center" wrapText="1"/>
    </xf>
    <xf numFmtId="0" fontId="23" fillId="8" borderId="0" xfId="0" applyFont="1" applyFill="1" applyAlignment="1">
      <alignment vertical="center" wrapText="1"/>
    </xf>
    <xf numFmtId="170" fontId="0" fillId="8" borderId="0" xfId="1" applyNumberFormat="1" applyFont="1" applyFill="1" applyAlignment="1">
      <alignment vertical="center" wrapText="1"/>
    </xf>
    <xf numFmtId="9" fontId="0" fillId="8" borderId="0" xfId="15" applyFont="1" applyFill="1" applyAlignment="1">
      <alignment vertical="center" wrapText="1"/>
    </xf>
    <xf numFmtId="0" fontId="0" fillId="8" borderId="0" xfId="0" applyFill="1" applyAlignment="1">
      <alignment vertical="center"/>
    </xf>
    <xf numFmtId="170" fontId="0" fillId="8" borderId="0" xfId="1" applyNumberFormat="1" applyFont="1" applyFill="1" applyAlignment="1">
      <alignment vertical="center"/>
    </xf>
    <xf numFmtId="170" fontId="32" fillId="0" borderId="0" xfId="1" applyNumberFormat="1" applyFont="1" applyAlignment="1"/>
    <xf numFmtId="9" fontId="32" fillId="0" borderId="0" xfId="15" applyFont="1" applyAlignment="1"/>
    <xf numFmtId="43" fontId="0" fillId="8" borderId="0" xfId="1" applyFont="1" applyFill="1" applyAlignment="1">
      <alignment vertical="center" wrapText="1"/>
    </xf>
    <xf numFmtId="43" fontId="0" fillId="8" borderId="0" xfId="1" applyFont="1" applyFill="1" applyAlignment="1">
      <alignment vertical="center"/>
    </xf>
    <xf numFmtId="0" fontId="0" fillId="8" borderId="0" xfId="0" applyFill="1" applyAlignment="1">
      <alignment horizontal="center" vertical="center" wrapText="1"/>
    </xf>
    <xf numFmtId="0" fontId="22" fillId="0" borderId="0" xfId="0" applyFont="1"/>
    <xf numFmtId="0" fontId="26" fillId="5" borderId="1" xfId="0" applyFont="1" applyFill="1" applyBorder="1" applyAlignment="1">
      <alignment horizontal="center" vertical="center" wrapText="1"/>
    </xf>
    <xf numFmtId="0" fontId="27" fillId="10" borderId="1" xfId="0" applyFont="1" applyFill="1" applyBorder="1" applyAlignment="1">
      <alignment horizontal="left" vertical="center" wrapText="1"/>
    </xf>
    <xf numFmtId="170" fontId="27" fillId="10" borderId="1" xfId="1" applyNumberFormat="1" applyFont="1" applyFill="1" applyBorder="1" applyAlignment="1">
      <alignment vertical="center" wrapText="1"/>
    </xf>
    <xf numFmtId="10" fontId="27" fillId="10" borderId="1" xfId="15" applyNumberFormat="1" applyFont="1" applyFill="1" applyBorder="1" applyAlignment="1">
      <alignment vertical="center" wrapText="1"/>
    </xf>
    <xf numFmtId="0" fontId="26" fillId="7" borderId="1" xfId="0" applyFont="1" applyFill="1" applyBorder="1" applyAlignment="1">
      <alignment horizontal="left" vertical="center" wrapText="1"/>
    </xf>
    <xf numFmtId="0" fontId="26" fillId="6" borderId="1" xfId="0" applyFont="1" applyFill="1" applyBorder="1" applyAlignment="1">
      <alignment vertical="center" wrapText="1"/>
    </xf>
    <xf numFmtId="0" fontId="27" fillId="6" borderId="1" xfId="0" applyFont="1" applyFill="1" applyBorder="1" applyAlignment="1">
      <alignment vertical="center" wrapText="1"/>
    </xf>
    <xf numFmtId="0" fontId="27" fillId="6" borderId="5" xfId="0" applyFont="1" applyFill="1" applyBorder="1" applyAlignment="1">
      <alignment vertical="center" wrapText="1"/>
    </xf>
    <xf numFmtId="0" fontId="27" fillId="12" borderId="1" xfId="0" applyFont="1" applyFill="1" applyBorder="1" applyAlignment="1">
      <alignment horizontal="left" vertical="center" wrapText="1"/>
    </xf>
    <xf numFmtId="170" fontId="27" fillId="12" borderId="1" xfId="1" applyNumberFormat="1" applyFont="1" applyFill="1" applyBorder="1" applyAlignment="1">
      <alignment vertical="center" wrapText="1"/>
    </xf>
    <xf numFmtId="10" fontId="27" fillId="12" borderId="1" xfId="15" applyNumberFormat="1" applyFont="1" applyFill="1" applyBorder="1" applyAlignment="1">
      <alignment vertical="center" wrapText="1"/>
    </xf>
    <xf numFmtId="0" fontId="26" fillId="12" borderId="1" xfId="0" applyFont="1" applyFill="1" applyBorder="1" applyAlignment="1">
      <alignment vertical="center" wrapText="1"/>
    </xf>
    <xf numFmtId="0" fontId="27" fillId="12" borderId="1" xfId="0" applyFont="1" applyFill="1" applyBorder="1" applyAlignment="1">
      <alignment vertical="center" wrapText="1"/>
    </xf>
    <xf numFmtId="164" fontId="27" fillId="6" borderId="1" xfId="1" applyNumberFormat="1" applyFont="1" applyFill="1" applyBorder="1" applyAlignment="1">
      <alignment vertical="center" wrapText="1"/>
    </xf>
    <xf numFmtId="164" fontId="27" fillId="12" borderId="1" xfId="1" applyNumberFormat="1" applyFont="1" applyFill="1" applyBorder="1" applyAlignment="1">
      <alignment vertical="center" wrapText="1"/>
    </xf>
    <xf numFmtId="164" fontId="22" fillId="0" borderId="0" xfId="0" applyNumberFormat="1" applyFont="1" applyAlignment="1">
      <alignment vertical="center"/>
    </xf>
    <xf numFmtId="9" fontId="22" fillId="0" borderId="0" xfId="15" applyFont="1" applyAlignment="1">
      <alignment horizontal="center" vertical="center"/>
    </xf>
    <xf numFmtId="43" fontId="11" fillId="0" borderId="1" xfId="1" applyFont="1" applyFill="1" applyBorder="1" applyAlignment="1" applyProtection="1">
      <alignment horizontal="center" vertical="center" wrapText="1"/>
      <protection locked="0"/>
    </xf>
    <xf numFmtId="43" fontId="9" fillId="0" borderId="0" xfId="1" applyFont="1" applyFill="1" applyAlignment="1">
      <alignment vertical="center"/>
    </xf>
    <xf numFmtId="43" fontId="9" fillId="0" borderId="0" xfId="1" applyFont="1" applyAlignment="1">
      <alignment horizontal="center" vertical="center"/>
    </xf>
    <xf numFmtId="9" fontId="26" fillId="5" borderId="1" xfId="15" applyFont="1" applyFill="1" applyBorder="1" applyAlignment="1">
      <alignment horizontal="center" vertical="center" wrapText="1"/>
    </xf>
    <xf numFmtId="164" fontId="0" fillId="0" borderId="1" xfId="1" applyNumberFormat="1" applyFont="1" applyBorder="1" applyAlignment="1">
      <alignment vertical="center"/>
    </xf>
    <xf numFmtId="164" fontId="26" fillId="5" borderId="1" xfId="1" applyNumberFormat="1" applyFont="1" applyFill="1" applyBorder="1" applyAlignment="1">
      <alignment horizontal="center" vertical="center" wrapText="1"/>
    </xf>
    <xf numFmtId="0" fontId="0" fillId="0" borderId="1" xfId="0" applyBorder="1" applyAlignment="1">
      <alignment vertical="center"/>
    </xf>
    <xf numFmtId="9" fontId="0" fillId="0" borderId="1" xfId="15" applyFont="1" applyBorder="1" applyAlignment="1">
      <alignment horizontal="center" vertical="center"/>
    </xf>
    <xf numFmtId="164" fontId="1" fillId="0" borderId="0" xfId="1" applyNumberFormat="1" applyFont="1" applyBorder="1" applyAlignment="1">
      <alignment horizontal="right" vertical="center"/>
    </xf>
    <xf numFmtId="164" fontId="1" fillId="0" borderId="11" xfId="1" applyNumberFormat="1" applyFont="1" applyBorder="1" applyAlignment="1">
      <alignment horizontal="right" vertical="center"/>
    </xf>
    <xf numFmtId="164" fontId="0" fillId="0" borderId="0" xfId="1" applyNumberFormat="1" applyFont="1" applyBorder="1" applyAlignment="1">
      <alignment vertical="center"/>
    </xf>
    <xf numFmtId="164" fontId="0" fillId="0" borderId="11" xfId="1" applyNumberFormat="1" applyFont="1" applyBorder="1" applyAlignment="1">
      <alignment vertical="center"/>
    </xf>
    <xf numFmtId="164" fontId="1" fillId="0" borderId="13" xfId="1" applyNumberFormat="1" applyFont="1" applyBorder="1" applyAlignment="1">
      <alignment horizontal="right" vertical="center"/>
    </xf>
    <xf numFmtId="164" fontId="0" fillId="0" borderId="13" xfId="1" applyNumberFormat="1" applyFont="1" applyBorder="1" applyAlignment="1">
      <alignment vertical="center"/>
    </xf>
    <xf numFmtId="164" fontId="0" fillId="0" borderId="9" xfId="1" applyNumberFormat="1" applyFont="1" applyBorder="1" applyAlignment="1">
      <alignment vertical="center"/>
    </xf>
    <xf numFmtId="43" fontId="0" fillId="0" borderId="9" xfId="1" applyFont="1" applyBorder="1" applyAlignment="1">
      <alignment horizontal="center" vertical="center"/>
    </xf>
    <xf numFmtId="0" fontId="22" fillId="0" borderId="0" xfId="0" applyFont="1" applyAlignment="1">
      <alignment vertical="center"/>
    </xf>
    <xf numFmtId="0" fontId="0" fillId="0" borderId="12" xfId="0" applyBorder="1" applyAlignment="1">
      <alignment vertical="center" wrapText="1"/>
    </xf>
    <xf numFmtId="0" fontId="0" fillId="0" borderId="6" xfId="0" applyBorder="1" applyAlignment="1">
      <alignment vertical="center"/>
    </xf>
    <xf numFmtId="0" fontId="26" fillId="10" borderId="5" xfId="0" applyFont="1" applyFill="1" applyBorder="1" applyAlignment="1">
      <alignment horizontal="center" vertical="center" wrapText="1"/>
    </xf>
    <xf numFmtId="0" fontId="26" fillId="10" borderId="16" xfId="0" applyFont="1" applyFill="1" applyBorder="1" applyAlignment="1">
      <alignment horizontal="center" vertical="center" wrapText="1"/>
    </xf>
    <xf numFmtId="0" fontId="26" fillId="10" borderId="17" xfId="0" applyFont="1" applyFill="1" applyBorder="1" applyAlignment="1">
      <alignment horizontal="center" vertical="center" wrapText="1"/>
    </xf>
    <xf numFmtId="0" fontId="26" fillId="10" borderId="8" xfId="0" applyFont="1" applyFill="1" applyBorder="1" applyAlignment="1">
      <alignment horizontal="center" vertical="center" wrapText="1"/>
    </xf>
    <xf numFmtId="0" fontId="22" fillId="10" borderId="1" xfId="0" applyFont="1" applyFill="1" applyBorder="1" applyAlignment="1">
      <alignment horizontal="center" vertical="center"/>
    </xf>
    <xf numFmtId="164" fontId="22" fillId="10" borderId="17" xfId="0" applyNumberFormat="1" applyFont="1" applyFill="1" applyBorder="1" applyAlignment="1">
      <alignment vertical="center"/>
    </xf>
    <xf numFmtId="164" fontId="22" fillId="10" borderId="4" xfId="0" applyNumberFormat="1" applyFont="1" applyFill="1" applyBorder="1" applyAlignment="1">
      <alignment vertical="center"/>
    </xf>
    <xf numFmtId="164" fontId="22" fillId="10" borderId="1" xfId="0" applyNumberFormat="1" applyFont="1" applyFill="1" applyBorder="1" applyAlignment="1">
      <alignment vertical="center"/>
    </xf>
    <xf numFmtId="0" fontId="26" fillId="11" borderId="8" xfId="0" applyFont="1" applyFill="1" applyBorder="1" applyAlignment="1">
      <alignment horizontal="center" vertical="center" wrapText="1"/>
    </xf>
    <xf numFmtId="0" fontId="26" fillId="11" borderId="16" xfId="0" applyFont="1" applyFill="1" applyBorder="1" applyAlignment="1">
      <alignment horizontal="center" vertical="center" wrapText="1"/>
    </xf>
    <xf numFmtId="0" fontId="26" fillId="11" borderId="17" xfId="0" applyFont="1" applyFill="1" applyBorder="1" applyAlignment="1">
      <alignment horizontal="center" vertical="center" wrapText="1"/>
    </xf>
    <xf numFmtId="164" fontId="22" fillId="0" borderId="13" xfId="1" applyNumberFormat="1" applyFont="1" applyBorder="1" applyAlignment="1">
      <alignment vertical="center"/>
    </xf>
    <xf numFmtId="164" fontId="22" fillId="0" borderId="0" xfId="1" applyNumberFormat="1" applyFont="1" applyBorder="1" applyAlignment="1">
      <alignment vertical="center"/>
    </xf>
    <xf numFmtId="164" fontId="22" fillId="0" borderId="11" xfId="1" applyNumberFormat="1" applyFont="1" applyBorder="1" applyAlignment="1">
      <alignment vertical="center"/>
    </xf>
    <xf numFmtId="164" fontId="22" fillId="0" borderId="15" xfId="1" applyNumberFormat="1" applyFont="1" applyBorder="1" applyAlignment="1">
      <alignment vertical="center"/>
    </xf>
    <xf numFmtId="164" fontId="22" fillId="0" borderId="9" xfId="1" applyNumberFormat="1" applyFont="1" applyBorder="1" applyAlignment="1">
      <alignment vertical="center"/>
    </xf>
    <xf numFmtId="0" fontId="26" fillId="11" borderId="5" xfId="0" applyFont="1" applyFill="1" applyBorder="1" applyAlignment="1">
      <alignment horizontal="center" vertical="center" wrapText="1"/>
    </xf>
    <xf numFmtId="0" fontId="0" fillId="0" borderId="12" xfId="0" applyBorder="1" applyAlignment="1">
      <alignment vertical="center"/>
    </xf>
    <xf numFmtId="0" fontId="26" fillId="6" borderId="17" xfId="0" applyFont="1" applyFill="1" applyBorder="1" applyAlignment="1">
      <alignment horizontal="center" vertical="center" wrapText="1"/>
    </xf>
    <xf numFmtId="43" fontId="0" fillId="0" borderId="15" xfId="1" applyFont="1" applyBorder="1" applyAlignment="1">
      <alignment vertical="center"/>
    </xf>
    <xf numFmtId="0" fontId="26" fillId="6" borderId="5" xfId="0" applyFont="1" applyFill="1" applyBorder="1" applyAlignment="1">
      <alignment horizontal="center" vertical="center" wrapText="1"/>
    </xf>
    <xf numFmtId="0" fontId="26" fillId="6" borderId="8" xfId="0" applyFont="1" applyFill="1" applyBorder="1" applyAlignment="1">
      <alignment horizontal="center" vertical="center" wrapText="1"/>
    </xf>
    <xf numFmtId="9" fontId="9" fillId="0" borderId="0" xfId="0" applyNumberFormat="1" applyFont="1" applyAlignment="1">
      <alignment vertical="center"/>
    </xf>
    <xf numFmtId="43" fontId="0" fillId="0" borderId="0" xfId="1" applyFont="1" applyBorder="1" applyAlignment="1">
      <alignment vertical="center"/>
    </xf>
    <xf numFmtId="43" fontId="0" fillId="0" borderId="11" xfId="1" applyFont="1" applyBorder="1" applyAlignment="1">
      <alignment vertical="center"/>
    </xf>
    <xf numFmtId="0" fontId="26" fillId="12" borderId="8" xfId="0" applyFont="1" applyFill="1" applyBorder="1" applyAlignment="1">
      <alignment horizontal="center" vertical="center" wrapText="1"/>
    </xf>
    <xf numFmtId="9" fontId="0" fillId="0" borderId="11" xfId="15" applyFont="1" applyBorder="1" applyAlignment="1">
      <alignment vertical="center"/>
    </xf>
    <xf numFmtId="0" fontId="26" fillId="12" borderId="5"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8" xfId="0" applyFont="1" applyFill="1" applyBorder="1" applyAlignment="1">
      <alignment horizontal="center" vertical="center" wrapText="1"/>
    </xf>
    <xf numFmtId="43" fontId="0" fillId="0" borderId="9" xfId="1" applyFont="1" applyBorder="1" applyAlignment="1">
      <alignment vertical="center"/>
    </xf>
    <xf numFmtId="166" fontId="0" fillId="0" borderId="9" xfId="1" applyNumberFormat="1" applyFont="1" applyBorder="1" applyAlignment="1">
      <alignment vertical="center"/>
    </xf>
    <xf numFmtId="9" fontId="27" fillId="6" borderId="1" xfId="15" applyFont="1" applyFill="1" applyBorder="1" applyAlignment="1">
      <alignment vertical="center" wrapText="1"/>
    </xf>
    <xf numFmtId="9" fontId="27" fillId="12" borderId="1" xfId="15" applyFont="1" applyFill="1" applyBorder="1" applyAlignment="1">
      <alignment vertical="center" wrapText="1"/>
    </xf>
    <xf numFmtId="164" fontId="35" fillId="10" borderId="1" xfId="1" applyNumberFormat="1" applyFont="1" applyFill="1" applyBorder="1" applyAlignment="1">
      <alignment horizontal="left" vertical="center"/>
    </xf>
    <xf numFmtId="9" fontId="35" fillId="10" borderId="1" xfId="15" applyFont="1" applyFill="1" applyBorder="1" applyAlignment="1">
      <alignment horizontal="center" vertical="center"/>
    </xf>
    <xf numFmtId="164" fontId="35" fillId="11" borderId="1" xfId="1" applyNumberFormat="1" applyFont="1" applyFill="1" applyBorder="1" applyAlignment="1">
      <alignment horizontal="left" vertical="center"/>
    </xf>
    <xf numFmtId="9" fontId="35" fillId="11" borderId="1" xfId="15" applyFont="1" applyFill="1" applyBorder="1" applyAlignment="1">
      <alignment horizontal="center" vertical="center"/>
    </xf>
    <xf numFmtId="164" fontId="36" fillId="6" borderId="1" xfId="1" applyNumberFormat="1" applyFont="1" applyFill="1" applyBorder="1" applyAlignment="1">
      <alignment vertical="center" wrapText="1"/>
    </xf>
    <xf numFmtId="164" fontId="36" fillId="12" borderId="1" xfId="1" applyNumberFormat="1" applyFont="1" applyFill="1" applyBorder="1" applyAlignment="1">
      <alignment vertical="center" wrapText="1"/>
    </xf>
    <xf numFmtId="164" fontId="36" fillId="7" borderId="1" xfId="1" applyNumberFormat="1" applyFont="1" applyFill="1" applyBorder="1" applyAlignment="1">
      <alignment horizontal="left" vertical="center" wrapText="1"/>
    </xf>
    <xf numFmtId="9" fontId="27" fillId="7" borderId="1" xfId="15" applyFont="1" applyFill="1" applyBorder="1" applyAlignment="1">
      <alignment vertical="center" wrapText="1"/>
    </xf>
    <xf numFmtId="9" fontId="1" fillId="10" borderId="1" xfId="15" applyFont="1" applyFill="1" applyBorder="1" applyAlignment="1">
      <alignment vertical="center"/>
    </xf>
    <xf numFmtId="9" fontId="1" fillId="11" borderId="1" xfId="15" applyFont="1" applyFill="1" applyBorder="1" applyAlignment="1">
      <alignment vertical="center"/>
    </xf>
    <xf numFmtId="0" fontId="27" fillId="7" borderId="1" xfId="0" applyFont="1" applyFill="1" applyBorder="1" applyAlignment="1">
      <alignment vertical="center" wrapText="1"/>
    </xf>
    <xf numFmtId="164" fontId="1" fillId="10" borderId="1" xfId="1" applyNumberFormat="1" applyFont="1" applyFill="1" applyBorder="1" applyAlignment="1">
      <alignment vertical="center"/>
    </xf>
    <xf numFmtId="164" fontId="1" fillId="11" borderId="1" xfId="1" applyNumberFormat="1" applyFont="1" applyFill="1" applyBorder="1" applyAlignment="1">
      <alignment vertical="center"/>
    </xf>
    <xf numFmtId="164" fontId="27" fillId="7" borderId="1" xfId="1" applyNumberFormat="1" applyFont="1" applyFill="1" applyBorder="1" applyAlignment="1">
      <alignment vertical="center" wrapText="1"/>
    </xf>
    <xf numFmtId="0" fontId="1" fillId="10" borderId="1" xfId="0" applyFont="1" applyFill="1" applyBorder="1" applyAlignment="1">
      <alignment vertical="center"/>
    </xf>
    <xf numFmtId="0" fontId="1" fillId="11" borderId="1" xfId="0" applyFont="1" applyFill="1" applyBorder="1" applyAlignment="1">
      <alignment vertical="center"/>
    </xf>
    <xf numFmtId="0" fontId="34" fillId="5" borderId="1" xfId="0" applyFont="1" applyFill="1" applyBorder="1" applyAlignment="1">
      <alignment horizontal="center" vertical="center" wrapText="1"/>
    </xf>
    <xf numFmtId="9" fontId="36" fillId="6" borderId="1" xfId="15" applyFont="1" applyFill="1" applyBorder="1" applyAlignment="1">
      <alignment horizontal="center" vertical="center" wrapText="1"/>
    </xf>
    <xf numFmtId="9" fontId="36" fillId="12" borderId="1" xfId="15" applyFont="1" applyFill="1" applyBorder="1" applyAlignment="1">
      <alignment horizontal="center" vertical="center" wrapText="1"/>
    </xf>
    <xf numFmtId="9" fontId="36" fillId="7" borderId="1" xfId="15" applyFont="1" applyFill="1" applyBorder="1" applyAlignment="1">
      <alignment horizontal="center" vertical="center" wrapText="1"/>
    </xf>
    <xf numFmtId="49" fontId="8" fillId="0" borderId="1" xfId="1" applyNumberFormat="1" applyFont="1" applyBorder="1" applyAlignment="1">
      <alignment horizontal="center" vertical="center" wrapText="1"/>
    </xf>
    <xf numFmtId="0" fontId="0" fillId="0" borderId="13"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164" fontId="37" fillId="0" borderId="0" xfId="0" applyNumberFormat="1" applyFont="1" applyAlignment="1">
      <alignment vertical="center"/>
    </xf>
    <xf numFmtId="9" fontId="0" fillId="0" borderId="0" xfId="15" applyFont="1" applyBorder="1" applyAlignment="1">
      <alignment horizontal="center" vertical="center"/>
    </xf>
    <xf numFmtId="164" fontId="36" fillId="10" borderId="1" xfId="1" applyNumberFormat="1" applyFont="1" applyFill="1" applyBorder="1" applyAlignment="1">
      <alignment vertical="center" wrapText="1"/>
    </xf>
    <xf numFmtId="164" fontId="36" fillId="11" borderId="1" xfId="1" applyNumberFormat="1" applyFont="1" applyFill="1" applyBorder="1" applyAlignment="1">
      <alignment vertical="center" wrapText="1"/>
    </xf>
    <xf numFmtId="164" fontId="36" fillId="7" borderId="1" xfId="1" applyNumberFormat="1" applyFont="1" applyFill="1" applyBorder="1" applyAlignment="1">
      <alignment vertical="center" wrapText="1"/>
    </xf>
    <xf numFmtId="164" fontId="34" fillId="5" borderId="18" xfId="1" applyNumberFormat="1" applyFont="1" applyFill="1" applyBorder="1" applyAlignment="1">
      <alignment vertical="center" wrapText="1"/>
    </xf>
    <xf numFmtId="9" fontId="36" fillId="10" borderId="1" xfId="15" applyFont="1" applyFill="1" applyBorder="1" applyAlignment="1">
      <alignment horizontal="center" vertical="center" wrapText="1"/>
    </xf>
    <xf numFmtId="9" fontId="36" fillId="11" borderId="1" xfId="15" applyFont="1" applyFill="1" applyBorder="1" applyAlignment="1">
      <alignment horizontal="center" vertical="center" wrapText="1"/>
    </xf>
    <xf numFmtId="164" fontId="7" fillId="2" borderId="0" xfId="1" applyNumberFormat="1" applyFont="1" applyFill="1" applyAlignment="1">
      <alignment horizontal="right" vertical="center" wrapText="1"/>
    </xf>
    <xf numFmtId="164" fontId="0" fillId="0" borderId="0" xfId="0" applyNumberFormat="1" applyAlignment="1">
      <alignment vertical="center"/>
    </xf>
    <xf numFmtId="164" fontId="8" fillId="0" borderId="5" xfId="1" applyNumberFormat="1" applyFont="1" applyFill="1" applyBorder="1" applyAlignment="1">
      <alignment vertical="center"/>
    </xf>
    <xf numFmtId="164" fontId="8" fillId="0" borderId="5" xfId="1" applyNumberFormat="1" applyFont="1" applyFill="1" applyBorder="1" applyAlignment="1">
      <alignment vertical="center" wrapText="1"/>
    </xf>
    <xf numFmtId="164" fontId="1" fillId="0" borderId="12" xfId="1" applyNumberFormat="1" applyFont="1" applyBorder="1" applyAlignment="1">
      <alignment horizontal="right" vertical="center"/>
    </xf>
    <xf numFmtId="164" fontId="0" fillId="0" borderId="12" xfId="1" applyNumberFormat="1" applyFont="1" applyBorder="1" applyAlignment="1">
      <alignment vertical="center"/>
    </xf>
    <xf numFmtId="0" fontId="38" fillId="4" borderId="0" xfId="0" applyFont="1" applyFill="1" applyAlignment="1">
      <alignment horizontal="center" vertical="center" wrapText="1"/>
    </xf>
    <xf numFmtId="43" fontId="3" fillId="8" borderId="0" xfId="1" applyFont="1" applyFill="1" applyAlignment="1">
      <alignment vertical="center" wrapText="1"/>
    </xf>
    <xf numFmtId="0" fontId="0" fillId="8" borderId="0" xfId="0" applyFill="1" applyAlignment="1">
      <alignment horizontal="left" vertical="center" wrapText="1"/>
    </xf>
    <xf numFmtId="43" fontId="3" fillId="8" borderId="0" xfId="1" applyFont="1" applyFill="1" applyAlignment="1">
      <alignment vertical="center"/>
    </xf>
    <xf numFmtId="164" fontId="3" fillId="0" borderId="0" xfId="1" applyNumberFormat="1" applyFont="1"/>
    <xf numFmtId="164" fontId="0" fillId="0" borderId="0" xfId="15" applyNumberFormat="1" applyFont="1" applyBorder="1" applyAlignment="1">
      <alignment horizontal="center" vertical="center"/>
    </xf>
    <xf numFmtId="0" fontId="0" fillId="0" borderId="0" xfId="0" applyAlignment="1">
      <alignment horizontal="center" vertical="center"/>
    </xf>
    <xf numFmtId="9" fontId="0" fillId="0" borderId="0" xfId="0" applyNumberFormat="1" applyAlignment="1">
      <alignment horizontal="center" vertical="center"/>
    </xf>
    <xf numFmtId="164" fontId="0" fillId="0" borderId="11" xfId="1" applyNumberFormat="1" applyFont="1" applyBorder="1" applyAlignment="1">
      <alignment horizontal="right" vertical="center"/>
    </xf>
    <xf numFmtId="0" fontId="0" fillId="0" borderId="13" xfId="0" applyBorder="1" applyAlignment="1">
      <alignment horizontal="left" vertical="center" wrapText="1"/>
    </xf>
    <xf numFmtId="0" fontId="0" fillId="0" borderId="0" xfId="0" applyAlignment="1">
      <alignment horizontal="left" vertical="center" wrapText="1"/>
    </xf>
    <xf numFmtId="0" fontId="27" fillId="10" borderId="1" xfId="0" applyFont="1" applyFill="1" applyBorder="1" applyAlignment="1">
      <alignment horizontal="left" vertical="center" wrapText="1"/>
    </xf>
    <xf numFmtId="0" fontId="27" fillId="11" borderId="1" xfId="0" applyFont="1" applyFill="1" applyBorder="1" applyAlignment="1">
      <alignment horizontal="left" vertical="center" wrapText="1"/>
    </xf>
    <xf numFmtId="0" fontId="26" fillId="10" borderId="1" xfId="0" applyFont="1" applyFill="1" applyBorder="1" applyAlignment="1">
      <alignment horizontal="left" vertical="center" wrapText="1"/>
    </xf>
    <xf numFmtId="0" fontId="26" fillId="11" borderId="1" xfId="0" applyFont="1" applyFill="1" applyBorder="1" applyAlignment="1">
      <alignment horizontal="left" vertical="center" wrapText="1"/>
    </xf>
    <xf numFmtId="0" fontId="9" fillId="3" borderId="11"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21" fillId="3" borderId="14" xfId="0" applyFont="1" applyFill="1" applyBorder="1" applyAlignment="1">
      <alignment horizontal="center" vertical="center"/>
    </xf>
    <xf numFmtId="0" fontId="21" fillId="3" borderId="15" xfId="0" applyFont="1" applyFill="1" applyBorder="1" applyAlignment="1">
      <alignment horizontal="center" vertical="center"/>
    </xf>
    <xf numFmtId="0" fontId="21" fillId="3" borderId="9" xfId="0" applyFont="1" applyFill="1" applyBorder="1" applyAlignment="1">
      <alignment horizontal="center" vertical="center"/>
    </xf>
    <xf numFmtId="164" fontId="9" fillId="3" borderId="5" xfId="1" applyNumberFormat="1" applyFont="1" applyFill="1" applyBorder="1" applyAlignment="1">
      <alignment horizontal="center" vertical="center" wrapText="1"/>
    </xf>
    <xf numFmtId="164" fontId="9" fillId="3" borderId="6" xfId="1" applyNumberFormat="1" applyFont="1" applyFill="1" applyBorder="1" applyAlignment="1">
      <alignment horizontal="center" vertical="center" wrapText="1"/>
    </xf>
    <xf numFmtId="164" fontId="9" fillId="3" borderId="2" xfId="1" applyNumberFormat="1" applyFont="1" applyFill="1" applyBorder="1" applyAlignment="1">
      <alignment horizontal="center" vertical="center" wrapText="1"/>
    </xf>
    <xf numFmtId="164" fontId="9" fillId="3" borderId="4" xfId="1" applyNumberFormat="1" applyFont="1" applyFill="1" applyBorder="1" applyAlignment="1">
      <alignment horizontal="center" vertical="center" wrapText="1"/>
    </xf>
    <xf numFmtId="0" fontId="21" fillId="3" borderId="11" xfId="0" applyFont="1" applyFill="1" applyBorder="1" applyAlignment="1">
      <alignment horizontal="center" vertical="center"/>
    </xf>
    <xf numFmtId="43" fontId="9" fillId="3" borderId="2" xfId="1" applyFont="1" applyFill="1" applyBorder="1" applyAlignment="1">
      <alignment horizontal="center" vertical="center" wrapText="1"/>
    </xf>
    <xf numFmtId="43" fontId="9" fillId="3" borderId="4" xfId="1" applyFont="1" applyFill="1" applyBorder="1" applyAlignment="1">
      <alignment horizontal="center" vertical="center" wrapText="1"/>
    </xf>
    <xf numFmtId="164" fontId="9" fillId="3" borderId="8" xfId="1" applyNumberFormat="1" applyFont="1" applyFill="1" applyBorder="1" applyAlignment="1">
      <alignment horizontal="center" vertical="center" wrapText="1"/>
    </xf>
    <xf numFmtId="164" fontId="9" fillId="3" borderId="9" xfId="1" applyNumberFormat="1" applyFont="1" applyFill="1" applyBorder="1" applyAlignment="1">
      <alignment horizontal="center" vertical="center" wrapText="1"/>
    </xf>
    <xf numFmtId="164" fontId="9" fillId="3" borderId="1" xfId="1" applyNumberFormat="1" applyFont="1" applyFill="1" applyBorder="1" applyAlignment="1">
      <alignment horizontal="center" vertical="center" wrapText="1"/>
    </xf>
    <xf numFmtId="43" fontId="9" fillId="3" borderId="5" xfId="1" applyFont="1" applyFill="1" applyBorder="1" applyAlignment="1">
      <alignment horizontal="center" vertical="center" wrapText="1"/>
    </xf>
    <xf numFmtId="43" fontId="9" fillId="3" borderId="6" xfId="1" applyFont="1" applyFill="1" applyBorder="1" applyAlignment="1">
      <alignment horizontal="center" vertical="center" wrapText="1"/>
    </xf>
    <xf numFmtId="0" fontId="9" fillId="3" borderId="12" xfId="0" applyFont="1" applyFill="1" applyBorder="1" applyAlignment="1">
      <alignment horizontal="center" vertical="center" wrapText="1"/>
    </xf>
    <xf numFmtId="164" fontId="9" fillId="3" borderId="12" xfId="1" applyNumberFormat="1" applyFont="1" applyFill="1" applyBorder="1" applyAlignment="1">
      <alignment horizontal="center" vertical="center" wrapText="1"/>
    </xf>
    <xf numFmtId="164" fontId="9" fillId="3" borderId="11" xfId="1" applyNumberFormat="1" applyFont="1" applyFill="1" applyBorder="1" applyAlignment="1">
      <alignment horizontal="center" vertical="center" wrapText="1"/>
    </xf>
    <xf numFmtId="164" fontId="9" fillId="3" borderId="15" xfId="1" applyNumberFormat="1" applyFont="1" applyFill="1" applyBorder="1" applyAlignment="1">
      <alignment horizontal="center" vertical="center" wrapText="1"/>
    </xf>
    <xf numFmtId="164" fontId="9" fillId="3" borderId="14" xfId="1"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64" fontId="9" fillId="3" borderId="3" xfId="1" applyNumberFormat="1" applyFont="1" applyFill="1" applyBorder="1" applyAlignment="1">
      <alignment horizontal="center" vertical="center" wrapText="1"/>
    </xf>
    <xf numFmtId="43" fontId="9" fillId="3" borderId="1" xfId="1" applyFont="1" applyFill="1" applyBorder="1" applyAlignment="1">
      <alignment horizontal="center" vertical="center" wrapText="1"/>
    </xf>
    <xf numFmtId="0" fontId="29" fillId="4" borderId="5" xfId="0" applyFont="1" applyFill="1" applyBorder="1" applyAlignment="1">
      <alignment horizontal="center" vertical="center"/>
    </xf>
    <xf numFmtId="0" fontId="29" fillId="4" borderId="12" xfId="0" applyFont="1" applyFill="1" applyBorder="1" applyAlignment="1">
      <alignment horizontal="center" vertical="center"/>
    </xf>
    <xf numFmtId="0" fontId="29" fillId="4" borderId="6" xfId="0" applyFont="1" applyFill="1" applyBorder="1" applyAlignment="1">
      <alignment horizontal="center" vertical="center"/>
    </xf>
    <xf numFmtId="0" fontId="29" fillId="4" borderId="5"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29" fillId="4" borderId="6" xfId="0" applyFont="1" applyFill="1" applyBorder="1" applyAlignment="1">
      <alignment horizontal="center" vertical="center" wrapText="1"/>
    </xf>
    <xf numFmtId="0" fontId="29" fillId="4" borderId="1"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 xfId="0" applyFont="1" applyFill="1" applyBorder="1" applyAlignment="1">
      <alignment horizontal="center" vertical="center" wrapText="1"/>
    </xf>
    <xf numFmtId="0" fontId="29" fillId="8" borderId="1" xfId="0" applyFont="1" applyFill="1" applyBorder="1" applyAlignment="1">
      <alignment horizontal="center" vertical="center"/>
    </xf>
    <xf numFmtId="0" fontId="29" fillId="8" borderId="2" xfId="0" applyFont="1" applyFill="1" applyBorder="1" applyAlignment="1">
      <alignment horizontal="center" vertical="center"/>
    </xf>
    <xf numFmtId="0" fontId="29" fillId="8" borderId="3" xfId="0" applyFont="1" applyFill="1" applyBorder="1" applyAlignment="1">
      <alignment horizontal="center" vertical="center"/>
    </xf>
    <xf numFmtId="0" fontId="29" fillId="8" borderId="4" xfId="0" applyFont="1" applyFill="1" applyBorder="1" applyAlignment="1">
      <alignment horizontal="center" vertical="center"/>
    </xf>
    <xf numFmtId="0" fontId="29" fillId="8" borderId="1"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8" fillId="8" borderId="2" xfId="0" applyFont="1" applyFill="1" applyBorder="1" applyAlignment="1">
      <alignment horizontal="center" vertical="center"/>
    </xf>
    <xf numFmtId="0" fontId="28" fillId="8" borderId="3" xfId="0" applyFont="1" applyFill="1" applyBorder="1" applyAlignment="1">
      <alignment horizontal="center" vertical="center"/>
    </xf>
    <xf numFmtId="0" fontId="28" fillId="8" borderId="4" xfId="0" applyFont="1" applyFill="1" applyBorder="1" applyAlignment="1">
      <alignment horizontal="center" vertical="center"/>
    </xf>
    <xf numFmtId="0" fontId="28" fillId="0" borderId="15" xfId="0" applyFont="1" applyBorder="1" applyAlignment="1">
      <alignment horizontal="center" vertical="center"/>
    </xf>
    <xf numFmtId="0" fontId="28" fillId="4" borderId="1" xfId="0" applyFont="1" applyFill="1" applyBorder="1" applyAlignment="1">
      <alignment horizontal="center" vertical="center"/>
    </xf>
    <xf numFmtId="0" fontId="28" fillId="4" borderId="2" xfId="0" applyFont="1" applyFill="1" applyBorder="1" applyAlignment="1">
      <alignment horizontal="center" vertical="center"/>
    </xf>
    <xf numFmtId="0" fontId="28" fillId="4" borderId="3" xfId="0" applyFont="1" applyFill="1" applyBorder="1" applyAlignment="1">
      <alignment horizontal="center" vertical="center"/>
    </xf>
    <xf numFmtId="0" fontId="28" fillId="4" borderId="4" xfId="0" applyFont="1" applyFill="1" applyBorder="1" applyAlignment="1">
      <alignment horizontal="center" vertical="center"/>
    </xf>
  </cellXfs>
  <cellStyles count="17">
    <cellStyle name="Comma" xfId="1" builtinId="3"/>
    <cellStyle name="Comma 2" xfId="16" xr:uid="{D734BAB6-CB2F-4AE7-B4AE-E81B9CF33626}"/>
    <cellStyle name="Normal" xfId="0" builtinId="0"/>
    <cellStyle name="Normal 2 2" xfId="7" xr:uid="{00000000-0005-0000-0000-000000000000}"/>
    <cellStyle name="Normal 4" xfId="2" xr:uid="{00000000-0005-0000-0000-000001000000}"/>
    <cellStyle name="Percent" xfId="15" builtinId="5"/>
    <cellStyle name="Обычный 2 10" xfId="6" xr:uid="{00000000-0005-0000-0000-000003000000}"/>
    <cellStyle name="Обычный 2 2 2 2" xfId="12" xr:uid="{4656F013-495E-40A3-B4F0-A73E5B9EAA28}"/>
    <cellStyle name="Обычный 2 2 2 3 2" xfId="3" xr:uid="{00000000-0005-0000-0000-000004000000}"/>
    <cellStyle name="Обычный 2 3" xfId="13" xr:uid="{155D3D2E-2AF8-48F6-90F1-32064035EDA7}"/>
    <cellStyle name="Обычный 2 4 3 4 2 2 2" xfId="14" xr:uid="{ED605C2D-A5F1-4C1C-813D-FCA1B0C84A88}"/>
    <cellStyle name="Обычный 24 3" xfId="9" xr:uid="{C935AA92-E844-47E8-8F5D-D41EB1A05D2A}"/>
    <cellStyle name="Обычный 5 2 2" xfId="4" xr:uid="{00000000-0005-0000-0000-000005000000}"/>
    <cellStyle name="Обычный 9" xfId="5" xr:uid="{00000000-0005-0000-0000-000006000000}"/>
    <cellStyle name="Обычный_2010 йил1" xfId="10" xr:uid="{EFE50652-F107-4292-817D-DE8130B7776C}"/>
    <cellStyle name="Обычный_Лист1" xfId="11" xr:uid="{E31B4736-24E3-417A-9FFF-60221629B507}"/>
    <cellStyle name="Обычный_табл.№1.10" xfId="8" xr:uid="{77699B93-90D2-4724-8D6B-F90F2CF524F1}"/>
  </cellStyles>
  <dxfs count="1">
    <dxf>
      <font>
        <color rgb="FF9C0006"/>
      </font>
      <fill>
        <patternFill>
          <bgColor rgb="FFFFC7CE"/>
        </patternFill>
      </fill>
    </dxf>
  </dxfs>
  <tableStyles count="0" defaultTableStyle="TableStyleMedium2" defaultPivotStyle="PivotStyleLight16"/>
  <colors>
    <mruColors>
      <color rgb="FFFF6161"/>
      <color rgb="FF7E0000"/>
      <color rgb="FFC40000"/>
      <color rgb="FFE6C0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PT"/>
              <a:t>Allocation</a:t>
            </a:r>
            <a:r>
              <a:rPr lang="pt-PT" baseline="0"/>
              <a:t> </a:t>
            </a:r>
          </a:p>
          <a:p>
            <a:pPr>
              <a:defRPr/>
            </a:pPr>
            <a:r>
              <a:rPr lang="pt-PT" baseline="0"/>
              <a:t>Urban vs Rural</a:t>
            </a:r>
            <a:endParaRPr lang="pt-PT"/>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0D6-4BA3-8A13-58A3002D253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0D6-4BA3-8A13-58A3002D253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Total!$G$15:$G$16</c:f>
              <c:strCache>
                <c:ptCount val="2"/>
                <c:pt idx="0">
                  <c:v>Urban</c:v>
                </c:pt>
                <c:pt idx="1">
                  <c:v>Rural</c:v>
                </c:pt>
              </c:strCache>
            </c:strRef>
          </c:cat>
          <c:val>
            <c:numRef>
              <c:f>Total!$H$15:$H$16</c:f>
              <c:numCache>
                <c:formatCode>_-* #\ ##0_-;\-* #\ ##0_-;_-* "-"??_-;_-@_-</c:formatCode>
                <c:ptCount val="2"/>
                <c:pt idx="0">
                  <c:v>1838594.909136557</c:v>
                </c:pt>
                <c:pt idx="1">
                  <c:v>644080.61735013325</c:v>
                </c:pt>
              </c:numCache>
            </c:numRef>
          </c:val>
          <c:extLst>
            <c:ext xmlns:c16="http://schemas.microsoft.com/office/drawing/2014/chart" uri="{C3380CC4-5D6E-409C-BE32-E72D297353CC}">
              <c16:uniqueId val="{00000000-6938-A440-8083-3A8E08D789DF}"/>
            </c:ext>
          </c:extLst>
        </c:ser>
        <c:dLbls>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Total!$N$11</c:f>
              <c:strCache>
                <c:ptCount val="1"/>
                <c:pt idx="0">
                  <c:v>Urban</c:v>
                </c:pt>
              </c:strCache>
            </c:strRef>
          </c:tx>
          <c:spPr>
            <a:solidFill>
              <a:schemeClr val="accent1"/>
            </a:solidFill>
            <a:ln>
              <a:noFill/>
            </a:ln>
            <a:effectLst/>
          </c:spPr>
          <c:invertIfNegative val="0"/>
          <c:cat>
            <c:strRef>
              <c:f>Total!$M$12:$M$16</c:f>
              <c:strCache>
                <c:ptCount val="5"/>
                <c:pt idx="0">
                  <c:v>SDG 2</c:v>
                </c:pt>
                <c:pt idx="1">
                  <c:v>SDG 3</c:v>
                </c:pt>
                <c:pt idx="2">
                  <c:v>SDG 4</c:v>
                </c:pt>
                <c:pt idx="3">
                  <c:v>SDG 6</c:v>
                </c:pt>
                <c:pt idx="4">
                  <c:v>SDG 9</c:v>
                </c:pt>
              </c:strCache>
            </c:strRef>
          </c:cat>
          <c:val>
            <c:numRef>
              <c:f>Total!$N$12:$N$16</c:f>
              <c:numCache>
                <c:formatCode>0%</c:formatCode>
                <c:ptCount val="5"/>
                <c:pt idx="0">
                  <c:v>0.26454565408974001</c:v>
                </c:pt>
                <c:pt idx="1">
                  <c:v>0.48890615108248958</c:v>
                </c:pt>
                <c:pt idx="2">
                  <c:v>0.37672706610971474</c:v>
                </c:pt>
                <c:pt idx="3">
                  <c:v>0.4271598358310601</c:v>
                </c:pt>
                <c:pt idx="4">
                  <c:v>1</c:v>
                </c:pt>
              </c:numCache>
            </c:numRef>
          </c:val>
          <c:extLst>
            <c:ext xmlns:c16="http://schemas.microsoft.com/office/drawing/2014/chart" uri="{C3380CC4-5D6E-409C-BE32-E72D297353CC}">
              <c16:uniqueId val="{00000000-C404-CE49-92A4-BE1437D4AE5E}"/>
            </c:ext>
          </c:extLst>
        </c:ser>
        <c:ser>
          <c:idx val="1"/>
          <c:order val="1"/>
          <c:tx>
            <c:strRef>
              <c:f>Total!$O$11</c:f>
              <c:strCache>
                <c:ptCount val="1"/>
                <c:pt idx="0">
                  <c:v>Rural</c:v>
                </c:pt>
              </c:strCache>
            </c:strRef>
          </c:tx>
          <c:spPr>
            <a:solidFill>
              <a:schemeClr val="accent2"/>
            </a:solidFill>
            <a:ln>
              <a:noFill/>
            </a:ln>
            <a:effectLst/>
          </c:spPr>
          <c:invertIfNegative val="0"/>
          <c:cat>
            <c:strRef>
              <c:f>Total!$M$12:$M$16</c:f>
              <c:strCache>
                <c:ptCount val="5"/>
                <c:pt idx="0">
                  <c:v>SDG 2</c:v>
                </c:pt>
                <c:pt idx="1">
                  <c:v>SDG 3</c:v>
                </c:pt>
                <c:pt idx="2">
                  <c:v>SDG 4</c:v>
                </c:pt>
                <c:pt idx="3">
                  <c:v>SDG 6</c:v>
                </c:pt>
                <c:pt idx="4">
                  <c:v>SDG 9</c:v>
                </c:pt>
              </c:strCache>
            </c:strRef>
          </c:cat>
          <c:val>
            <c:numRef>
              <c:f>Total!$O$12:$O$16</c:f>
              <c:numCache>
                <c:formatCode>0%</c:formatCode>
                <c:ptCount val="5"/>
                <c:pt idx="0">
                  <c:v>0.73545434591025982</c:v>
                </c:pt>
                <c:pt idx="1">
                  <c:v>0.51109384891751042</c:v>
                </c:pt>
                <c:pt idx="2">
                  <c:v>0.62327293389028526</c:v>
                </c:pt>
                <c:pt idx="3">
                  <c:v>0.5728401641689399</c:v>
                </c:pt>
                <c:pt idx="4">
                  <c:v>0</c:v>
                </c:pt>
              </c:numCache>
            </c:numRef>
          </c:val>
          <c:extLst>
            <c:ext xmlns:c16="http://schemas.microsoft.com/office/drawing/2014/chart" uri="{C3380CC4-5D6E-409C-BE32-E72D297353CC}">
              <c16:uniqueId val="{00000001-C404-CE49-92A4-BE1437D4AE5E}"/>
            </c:ext>
          </c:extLst>
        </c:ser>
        <c:dLbls>
          <c:showLegendKey val="0"/>
          <c:showVal val="0"/>
          <c:showCatName val="0"/>
          <c:showSerName val="0"/>
          <c:showPercent val="0"/>
          <c:showBubbleSize val="0"/>
        </c:dLbls>
        <c:gapWidth val="182"/>
        <c:axId val="64063728"/>
        <c:axId val="64065440"/>
      </c:barChart>
      <c:catAx>
        <c:axId val="640637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065440"/>
        <c:crosses val="autoZero"/>
        <c:auto val="1"/>
        <c:lblAlgn val="ctr"/>
        <c:lblOffset val="100"/>
        <c:noMultiLvlLbl val="0"/>
      </c:catAx>
      <c:valAx>
        <c:axId val="6406544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063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Number of students and kids graduated and enrolled at higher/primary</a:t>
            </a:r>
            <a:r>
              <a:rPr lang="en-US" sz="1200" baseline="0"/>
              <a:t> education</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v>Graduated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Total!$V$5:$V$6</c:f>
              <c:strCache>
                <c:ptCount val="2"/>
                <c:pt idx="0">
                  <c:v>Schools</c:v>
                </c:pt>
                <c:pt idx="1">
                  <c:v>Kindergartens</c:v>
                </c:pt>
              </c:strCache>
            </c:strRef>
          </c:cat>
          <c:val>
            <c:numRef>
              <c:f>Total!$AJ$5:$AJ$6</c:f>
              <c:numCache>
                <c:formatCode>_-* #\ ##0_-;\-* #\ ##0_-;_-* "-"??_-;_-@_-</c:formatCode>
                <c:ptCount val="2"/>
                <c:pt idx="0">
                  <c:v>5476</c:v>
                </c:pt>
                <c:pt idx="1">
                  <c:v>4035</c:v>
                </c:pt>
              </c:numCache>
            </c:numRef>
          </c:val>
          <c:extLst>
            <c:ext xmlns:c16="http://schemas.microsoft.com/office/drawing/2014/chart" uri="{C3380CC4-5D6E-409C-BE32-E72D297353CC}">
              <c16:uniqueId val="{00000000-AB67-451E-A029-33C94D05D25B}"/>
            </c:ext>
          </c:extLst>
        </c:ser>
        <c:ser>
          <c:idx val="1"/>
          <c:order val="1"/>
          <c:tx>
            <c:v>Enrolled at higher/primary education</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Total!$V$5:$V$6</c:f>
              <c:strCache>
                <c:ptCount val="2"/>
                <c:pt idx="0">
                  <c:v>Schools</c:v>
                </c:pt>
                <c:pt idx="1">
                  <c:v>Kindergartens</c:v>
                </c:pt>
              </c:strCache>
            </c:strRef>
          </c:cat>
          <c:val>
            <c:numRef>
              <c:f>Total!$AL$5:$AL$6</c:f>
              <c:numCache>
                <c:formatCode>_-* #\ ##0_-;\-* #\ ##0_-;_-* "-"??_-;_-@_-</c:formatCode>
                <c:ptCount val="2"/>
                <c:pt idx="0">
                  <c:v>2040</c:v>
                </c:pt>
                <c:pt idx="1">
                  <c:v>4035</c:v>
                </c:pt>
              </c:numCache>
            </c:numRef>
          </c:val>
          <c:extLst>
            <c:ext xmlns:c16="http://schemas.microsoft.com/office/drawing/2014/chart" uri="{C3380CC4-5D6E-409C-BE32-E72D297353CC}">
              <c16:uniqueId val="{00000001-AB67-451E-A029-33C94D05D25B}"/>
            </c:ext>
          </c:extLst>
        </c:ser>
        <c:dLbls>
          <c:dLblPos val="ctr"/>
          <c:showLegendKey val="0"/>
          <c:showVal val="1"/>
          <c:showCatName val="0"/>
          <c:showSerName val="0"/>
          <c:showPercent val="0"/>
          <c:showBubbleSize val="0"/>
        </c:dLbls>
        <c:gapWidth val="150"/>
        <c:overlap val="100"/>
        <c:axId val="478095535"/>
        <c:axId val="989859903"/>
      </c:barChart>
      <c:catAx>
        <c:axId val="4780955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9859903"/>
        <c:crosses val="autoZero"/>
        <c:auto val="1"/>
        <c:lblAlgn val="ctr"/>
        <c:lblOffset val="100"/>
        <c:noMultiLvlLbl val="0"/>
      </c:catAx>
      <c:valAx>
        <c:axId val="989859903"/>
        <c:scaling>
          <c:orientation val="minMax"/>
        </c:scaling>
        <c:delete val="0"/>
        <c:axPos val="l"/>
        <c:majorGridlines>
          <c:spPr>
            <a:ln w="9525" cap="flat" cmpd="sng" algn="ctr">
              <a:solidFill>
                <a:schemeClr val="tx1">
                  <a:lumMod val="15000"/>
                  <a:lumOff val="85000"/>
                </a:schemeClr>
              </a:solidFill>
              <a:round/>
            </a:ln>
            <a:effectLst/>
          </c:spPr>
        </c:majorGridlines>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0955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Number of</a:t>
            </a:r>
            <a:r>
              <a:rPr lang="en-US" sz="1200" baseline="0"/>
              <a:t> total jobs, renovated and new seats by regions</a:t>
            </a:r>
            <a:endParaRPr lang="en-US"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3051819135215689E-2"/>
          <c:y val="7.6283213285815485E-2"/>
          <c:w val="0.9559605856002884"/>
          <c:h val="0.63906635036580284"/>
        </c:manualLayout>
      </c:layout>
      <c:barChart>
        <c:barDir val="col"/>
        <c:grouping val="clustered"/>
        <c:varyColors val="0"/>
        <c:ser>
          <c:idx val="0"/>
          <c:order val="0"/>
          <c:tx>
            <c:v>Total jobs</c:v>
          </c:tx>
          <c:spPr>
            <a:solidFill>
              <a:schemeClr val="accent1"/>
            </a:solidFill>
            <a:ln>
              <a:noFill/>
            </a:ln>
            <a:effectLst/>
          </c:spPr>
          <c:invertIfNegative val="0"/>
          <c:cat>
            <c:strRef>
              <c:f>Schools!$AE$4:$AE$17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Schools!$AT$4:$AT$17</c:f>
              <c:numCache>
                <c:formatCode>General</c:formatCode>
                <c:ptCount val="14"/>
                <c:pt idx="0">
                  <c:v>371</c:v>
                </c:pt>
                <c:pt idx="1">
                  <c:v>237</c:v>
                </c:pt>
                <c:pt idx="2">
                  <c:v>279</c:v>
                </c:pt>
                <c:pt idx="3">
                  <c:v>73</c:v>
                </c:pt>
                <c:pt idx="4" formatCode="_(* #,##0.00_);_(* \(#,##0.00\);_(* &quot;-&quot;??_);_(@_)">
                  <c:v>0</c:v>
                </c:pt>
                <c:pt idx="5">
                  <c:v>298</c:v>
                </c:pt>
                <c:pt idx="6">
                  <c:v>384</c:v>
                </c:pt>
                <c:pt idx="7">
                  <c:v>94</c:v>
                </c:pt>
                <c:pt idx="8">
                  <c:v>474</c:v>
                </c:pt>
                <c:pt idx="9">
                  <c:v>144</c:v>
                </c:pt>
                <c:pt idx="10">
                  <c:v>74</c:v>
                </c:pt>
                <c:pt idx="11" formatCode="_(* #,##0.00_);_(* \(#,##0.00\);_(* &quot;-&quot;??_);_(@_)">
                  <c:v>0</c:v>
                </c:pt>
                <c:pt idx="12">
                  <c:v>381</c:v>
                </c:pt>
                <c:pt idx="13">
                  <c:v>379</c:v>
                </c:pt>
              </c:numCache>
            </c:numRef>
          </c:val>
          <c:extLst>
            <c:ext xmlns:c16="http://schemas.microsoft.com/office/drawing/2014/chart" uri="{C3380CC4-5D6E-409C-BE32-E72D297353CC}">
              <c16:uniqueId val="{00000000-7DD2-45F9-AD06-DEE66CE9C67A}"/>
            </c:ext>
          </c:extLst>
        </c:ser>
        <c:ser>
          <c:idx val="1"/>
          <c:order val="1"/>
          <c:tx>
            <c:v>Renovated seats</c:v>
          </c:tx>
          <c:spPr>
            <a:solidFill>
              <a:schemeClr val="accent2"/>
            </a:solidFill>
            <a:ln>
              <a:noFill/>
            </a:ln>
            <a:effectLst/>
          </c:spPr>
          <c:invertIfNegative val="0"/>
          <c:cat>
            <c:strRef>
              <c:f>Schools!$AE$4:$AE$17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Schools!$AU$4:$AU$17</c:f>
              <c:numCache>
                <c:formatCode>General</c:formatCode>
                <c:ptCount val="14"/>
                <c:pt idx="0">
                  <c:v>1934</c:v>
                </c:pt>
                <c:pt idx="1">
                  <c:v>600</c:v>
                </c:pt>
                <c:pt idx="2">
                  <c:v>1350</c:v>
                </c:pt>
                <c:pt idx="3">
                  <c:v>700</c:v>
                </c:pt>
                <c:pt idx="4" formatCode="_(* #,##0.00_);_(* \(#,##0.00\);_(* &quot;-&quot;??_);_(@_)">
                  <c:v>0</c:v>
                </c:pt>
                <c:pt idx="5">
                  <c:v>1772</c:v>
                </c:pt>
                <c:pt idx="6">
                  <c:v>2234</c:v>
                </c:pt>
                <c:pt idx="7">
                  <c:v>720</c:v>
                </c:pt>
                <c:pt idx="8">
                  <c:v>2045</c:v>
                </c:pt>
                <c:pt idx="9">
                  <c:v>960</c:v>
                </c:pt>
                <c:pt idx="10">
                  <c:v>520</c:v>
                </c:pt>
                <c:pt idx="11" formatCode="_(* #,##0.00_);_(* \(#,##0.00\);_(* &quot;-&quot;??_);_(@_)">
                  <c:v>0</c:v>
                </c:pt>
                <c:pt idx="12">
                  <c:v>2120</c:v>
                </c:pt>
                <c:pt idx="13">
                  <c:v>3096</c:v>
                </c:pt>
              </c:numCache>
            </c:numRef>
          </c:val>
          <c:extLst>
            <c:ext xmlns:c16="http://schemas.microsoft.com/office/drawing/2014/chart" uri="{C3380CC4-5D6E-409C-BE32-E72D297353CC}">
              <c16:uniqueId val="{00000001-7DD2-45F9-AD06-DEE66CE9C67A}"/>
            </c:ext>
          </c:extLst>
        </c:ser>
        <c:ser>
          <c:idx val="2"/>
          <c:order val="2"/>
          <c:tx>
            <c:v>New seats</c:v>
          </c:tx>
          <c:spPr>
            <a:solidFill>
              <a:schemeClr val="accent3"/>
            </a:solidFill>
            <a:ln>
              <a:noFill/>
            </a:ln>
            <a:effectLst/>
          </c:spPr>
          <c:invertIfNegative val="0"/>
          <c:cat>
            <c:strRef>
              <c:f>Schools!$AE$4:$AE$17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Schools!$AV$4:$AV$17</c:f>
              <c:numCache>
                <c:formatCode>General</c:formatCode>
                <c:ptCount val="14"/>
                <c:pt idx="0">
                  <c:v>1795</c:v>
                </c:pt>
                <c:pt idx="1">
                  <c:v>1646</c:v>
                </c:pt>
                <c:pt idx="2">
                  <c:v>1440</c:v>
                </c:pt>
                <c:pt idx="3">
                  <c:v>0</c:v>
                </c:pt>
                <c:pt idx="4" formatCode="_(* #,##0.00_);_(* \(#,##0.00\);_(* &quot;-&quot;??_);_(@_)">
                  <c:v>0</c:v>
                </c:pt>
                <c:pt idx="5">
                  <c:v>822</c:v>
                </c:pt>
                <c:pt idx="6">
                  <c:v>1620</c:v>
                </c:pt>
                <c:pt idx="7">
                  <c:v>330</c:v>
                </c:pt>
                <c:pt idx="8">
                  <c:v>920</c:v>
                </c:pt>
                <c:pt idx="9">
                  <c:v>360</c:v>
                </c:pt>
                <c:pt idx="10">
                  <c:v>210</c:v>
                </c:pt>
                <c:pt idx="11" formatCode="_(* #,##0.00_);_(* \(#,##0.00\);_(* &quot;-&quot;??_);_(@_)">
                  <c:v>0</c:v>
                </c:pt>
                <c:pt idx="12">
                  <c:v>1504</c:v>
                </c:pt>
                <c:pt idx="13">
                  <c:v>1282</c:v>
                </c:pt>
              </c:numCache>
            </c:numRef>
          </c:val>
          <c:extLst>
            <c:ext xmlns:c16="http://schemas.microsoft.com/office/drawing/2014/chart" uri="{C3380CC4-5D6E-409C-BE32-E72D297353CC}">
              <c16:uniqueId val="{00000002-7DD2-45F9-AD06-DEE66CE9C67A}"/>
            </c:ext>
          </c:extLst>
        </c:ser>
        <c:dLbls>
          <c:showLegendKey val="0"/>
          <c:showVal val="0"/>
          <c:showCatName val="0"/>
          <c:showSerName val="0"/>
          <c:showPercent val="0"/>
          <c:showBubbleSize val="0"/>
        </c:dLbls>
        <c:gapWidth val="219"/>
        <c:overlap val="-27"/>
        <c:axId val="796742831"/>
        <c:axId val="789277455"/>
        <c:extLst>
          <c:ext xmlns:c15="http://schemas.microsoft.com/office/drawing/2012/chart" uri="{02D57815-91ED-43cb-92C2-25804820EDAC}">
            <c15:filteredBarSeries>
              <c15:ser>
                <c:idx val="3"/>
                <c:order val="3"/>
                <c:spPr>
                  <a:solidFill>
                    <a:schemeClr val="accent4"/>
                  </a:solidFill>
                  <a:ln>
                    <a:noFill/>
                  </a:ln>
                  <a:effectLst/>
                </c:spPr>
                <c:invertIfNegative val="0"/>
                <c:cat>
                  <c:strRef>
                    <c:extLst>
                      <c:ext uri="{02D57815-91ED-43cb-92C2-25804820EDAC}">
                        <c15:formulaRef>
                          <c15:sqref>Schools!$AE$4:$AE$17</c15:sqref>
                        </c15:formulaRef>
                      </c:ext>
                    </c:extLst>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extLst>
                      <c:ext uri="{02D57815-91ED-43cb-92C2-25804820EDAC}">
                        <c15:formulaRef>
                          <c15:sqref>Schools!$BC$4:$BC$17</c15:sqref>
                        </c15:formulaRef>
                      </c:ext>
                    </c:extLst>
                    <c:numCache>
                      <c:formatCode>_-* #\ ##0_-;\-* #\ ##0_-;_-* "-"??_-;_-@_-</c:formatCode>
                      <c:ptCount val="14"/>
                      <c:pt idx="0">
                        <c:v>819</c:v>
                      </c:pt>
                      <c:pt idx="1">
                        <c:v>271</c:v>
                      </c:pt>
                      <c:pt idx="2">
                        <c:v>516</c:v>
                      </c:pt>
                      <c:pt idx="3">
                        <c:v>65</c:v>
                      </c:pt>
                      <c:pt idx="4">
                        <c:v>0</c:v>
                      </c:pt>
                      <c:pt idx="5">
                        <c:v>675</c:v>
                      </c:pt>
                      <c:pt idx="6">
                        <c:v>583</c:v>
                      </c:pt>
                      <c:pt idx="7">
                        <c:v>224</c:v>
                      </c:pt>
                      <c:pt idx="8">
                        <c:v>788</c:v>
                      </c:pt>
                      <c:pt idx="9">
                        <c:v>211</c:v>
                      </c:pt>
                      <c:pt idx="10">
                        <c:v>180</c:v>
                      </c:pt>
                      <c:pt idx="11">
                        <c:v>0</c:v>
                      </c:pt>
                      <c:pt idx="12">
                        <c:v>590</c:v>
                      </c:pt>
                      <c:pt idx="13">
                        <c:v>554</c:v>
                      </c:pt>
                    </c:numCache>
                  </c:numRef>
                </c:val>
                <c:extLst>
                  <c:ext xmlns:c16="http://schemas.microsoft.com/office/drawing/2014/chart" uri="{C3380CC4-5D6E-409C-BE32-E72D297353CC}">
                    <c16:uniqueId val="{00000003-7DD2-45F9-AD06-DEE66CE9C67A}"/>
                  </c:ext>
                </c:extLst>
              </c15:ser>
            </c15:filteredBarSeries>
            <c15:filteredBarSeries>
              <c15:ser>
                <c:idx val="4"/>
                <c:order val="4"/>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Schools!$AE$4:$AE$17</c15:sqref>
                        </c15:formulaRef>
                      </c:ext>
                    </c:extLst>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extLst xmlns:c15="http://schemas.microsoft.com/office/drawing/2012/chart">
                      <c:ext xmlns:c15="http://schemas.microsoft.com/office/drawing/2012/chart" uri="{02D57815-91ED-43cb-92C2-25804820EDAC}">
                        <c15:formulaRef>
                          <c15:sqref>Schools!$BD$4:$BD$17</c15:sqref>
                        </c15:formulaRef>
                      </c:ext>
                    </c:extLst>
                    <c:numCache>
                      <c:formatCode>_-* #\ ##0_-;\-* #\ ##0_-;_-* "-"??_-;_-@_-</c:formatCode>
                      <c:ptCount val="14"/>
                      <c:pt idx="0">
                        <c:v>163</c:v>
                      </c:pt>
                      <c:pt idx="1">
                        <c:v>210</c:v>
                      </c:pt>
                      <c:pt idx="2">
                        <c:v>158</c:v>
                      </c:pt>
                      <c:pt idx="3">
                        <c:v>30</c:v>
                      </c:pt>
                      <c:pt idx="4">
                        <c:v>0</c:v>
                      </c:pt>
                      <c:pt idx="5">
                        <c:v>212</c:v>
                      </c:pt>
                      <c:pt idx="6">
                        <c:v>129</c:v>
                      </c:pt>
                      <c:pt idx="7">
                        <c:v>72</c:v>
                      </c:pt>
                      <c:pt idx="8">
                        <c:v>335</c:v>
                      </c:pt>
                      <c:pt idx="9">
                        <c:v>135</c:v>
                      </c:pt>
                      <c:pt idx="10">
                        <c:v>71</c:v>
                      </c:pt>
                      <c:pt idx="11">
                        <c:v>0</c:v>
                      </c:pt>
                      <c:pt idx="12">
                        <c:v>280</c:v>
                      </c:pt>
                      <c:pt idx="13">
                        <c:v>245</c:v>
                      </c:pt>
                    </c:numCache>
                  </c:numRef>
                </c:val>
                <c:extLst xmlns:c15="http://schemas.microsoft.com/office/drawing/2012/chart">
                  <c:ext xmlns:c16="http://schemas.microsoft.com/office/drawing/2014/chart" uri="{C3380CC4-5D6E-409C-BE32-E72D297353CC}">
                    <c16:uniqueId val="{00000004-7DD2-45F9-AD06-DEE66CE9C67A}"/>
                  </c:ext>
                </c:extLst>
              </c15:ser>
            </c15:filteredBarSeries>
          </c:ext>
        </c:extLst>
      </c:barChart>
      <c:catAx>
        <c:axId val="7967428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89277455"/>
        <c:crosses val="autoZero"/>
        <c:auto val="1"/>
        <c:lblAlgn val="ctr"/>
        <c:lblOffset val="100"/>
        <c:noMultiLvlLbl val="0"/>
      </c:catAx>
      <c:valAx>
        <c:axId val="78927745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742831"/>
        <c:crosses val="autoZero"/>
        <c:crossBetween val="between"/>
      </c:valAx>
      <c:spPr>
        <a:noFill/>
        <a:ln>
          <a:noFill/>
        </a:ln>
        <a:effectLst/>
      </c:spPr>
    </c:plotArea>
    <c:legend>
      <c:legendPos val="b"/>
      <c:layout>
        <c:manualLayout>
          <c:xMode val="edge"/>
          <c:yMode val="edge"/>
          <c:x val="2.8967296606398227E-2"/>
          <c:y val="0.85224618521288553"/>
          <c:w val="0.16037870001568308"/>
          <c:h val="0.13277796923407098"/>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b="0" i="0" u="none" strike="noStrike" kern="1200" spc="0" baseline="0">
                <a:solidFill>
                  <a:sysClr val="windowText" lastClr="000000">
                    <a:lumMod val="65000"/>
                    <a:lumOff val="35000"/>
                  </a:sysClr>
                </a:solidFill>
              </a:rPr>
              <a:t>Number of total jobs, renovated and new seats by regions</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8258445860623507E-2"/>
          <c:y val="8.3590309750768643E-2"/>
          <c:w val="0.93819765732273519"/>
          <c:h val="0.70023208608117948"/>
        </c:manualLayout>
      </c:layout>
      <c:barChart>
        <c:barDir val="col"/>
        <c:grouping val="clustered"/>
        <c:varyColors val="0"/>
        <c:ser>
          <c:idx val="0"/>
          <c:order val="0"/>
          <c:tx>
            <c:v>Total jobs</c:v>
          </c:tx>
          <c:spPr>
            <a:solidFill>
              <a:schemeClr val="accent1"/>
            </a:solidFill>
            <a:ln>
              <a:noFill/>
            </a:ln>
            <a:effectLst/>
          </c:spPr>
          <c:invertIfNegative val="0"/>
          <c:cat>
            <c:strRef>
              <c:f>Kindergartens!$AD$4:$AD$17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Kindergartens!$AS$4:$AS$17</c:f>
              <c:numCache>
                <c:formatCode>_-* #\ ##0_-;\-* #\ ##0_-;_-* "-"??_-;_-@_-</c:formatCode>
                <c:ptCount val="14"/>
                <c:pt idx="0">
                  <c:v>343</c:v>
                </c:pt>
                <c:pt idx="1">
                  <c:v>63</c:v>
                </c:pt>
                <c:pt idx="2">
                  <c:v>162</c:v>
                </c:pt>
                <c:pt idx="3">
                  <c:v>95</c:v>
                </c:pt>
                <c:pt idx="4">
                  <c:v>111</c:v>
                </c:pt>
                <c:pt idx="5">
                  <c:v>125</c:v>
                </c:pt>
                <c:pt idx="6">
                  <c:v>241</c:v>
                </c:pt>
                <c:pt idx="7">
                  <c:v>28</c:v>
                </c:pt>
                <c:pt idx="8">
                  <c:v>57</c:v>
                </c:pt>
                <c:pt idx="9">
                  <c:v>110</c:v>
                </c:pt>
                <c:pt idx="10">
                  <c:v>64.34</c:v>
                </c:pt>
                <c:pt idx="11">
                  <c:v>31</c:v>
                </c:pt>
                <c:pt idx="12">
                  <c:v>74</c:v>
                </c:pt>
                <c:pt idx="13">
                  <c:v>188</c:v>
                </c:pt>
              </c:numCache>
            </c:numRef>
          </c:val>
          <c:extLst>
            <c:ext xmlns:c16="http://schemas.microsoft.com/office/drawing/2014/chart" uri="{C3380CC4-5D6E-409C-BE32-E72D297353CC}">
              <c16:uniqueId val="{00000000-2046-4262-8BD6-79F95B2E13A2}"/>
            </c:ext>
          </c:extLst>
        </c:ser>
        <c:ser>
          <c:idx val="1"/>
          <c:order val="1"/>
          <c:tx>
            <c:v>Renovated seats</c:v>
          </c:tx>
          <c:spPr>
            <a:solidFill>
              <a:schemeClr val="accent2"/>
            </a:solidFill>
            <a:ln>
              <a:noFill/>
            </a:ln>
            <a:effectLst/>
          </c:spPr>
          <c:invertIfNegative val="0"/>
          <c:cat>
            <c:strRef>
              <c:f>Kindergartens!$AD$4:$AD$17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Kindergartens!$AT$4:$AT$17</c:f>
              <c:numCache>
                <c:formatCode>General</c:formatCode>
                <c:ptCount val="14"/>
                <c:pt idx="0">
                  <c:v>834</c:v>
                </c:pt>
                <c:pt idx="1">
                  <c:v>180</c:v>
                </c:pt>
                <c:pt idx="2">
                  <c:v>640</c:v>
                </c:pt>
                <c:pt idx="3">
                  <c:v>195</c:v>
                </c:pt>
                <c:pt idx="4" formatCode="_(* #,##0.00_);_(* \(#,##0.00\);_(* &quot;-&quot;??_);_(@_)">
                  <c:v>235</c:v>
                </c:pt>
                <c:pt idx="5">
                  <c:v>600</c:v>
                </c:pt>
                <c:pt idx="6">
                  <c:v>0</c:v>
                </c:pt>
                <c:pt idx="7">
                  <c:v>0</c:v>
                </c:pt>
                <c:pt idx="8">
                  <c:v>0</c:v>
                </c:pt>
                <c:pt idx="9">
                  <c:v>280</c:v>
                </c:pt>
                <c:pt idx="10">
                  <c:v>140</c:v>
                </c:pt>
                <c:pt idx="11" formatCode="_(* #,##0.00_);_(* \(#,##0.00\);_(* &quot;-&quot;??_);_(@_)">
                  <c:v>140</c:v>
                </c:pt>
                <c:pt idx="12">
                  <c:v>360</c:v>
                </c:pt>
                <c:pt idx="13">
                  <c:v>600</c:v>
                </c:pt>
              </c:numCache>
            </c:numRef>
          </c:val>
          <c:extLst>
            <c:ext xmlns:c16="http://schemas.microsoft.com/office/drawing/2014/chart" uri="{C3380CC4-5D6E-409C-BE32-E72D297353CC}">
              <c16:uniqueId val="{00000001-2046-4262-8BD6-79F95B2E13A2}"/>
            </c:ext>
          </c:extLst>
        </c:ser>
        <c:ser>
          <c:idx val="2"/>
          <c:order val="2"/>
          <c:tx>
            <c:v>New seats</c:v>
          </c:tx>
          <c:spPr>
            <a:solidFill>
              <a:schemeClr val="accent3"/>
            </a:solidFill>
            <a:ln>
              <a:noFill/>
            </a:ln>
            <a:effectLst/>
          </c:spPr>
          <c:invertIfNegative val="0"/>
          <c:cat>
            <c:strRef>
              <c:f>Kindergartens!$AD$4:$AD$17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Kindergartens!$AU$4:$AU$17</c:f>
              <c:numCache>
                <c:formatCode>General</c:formatCode>
                <c:ptCount val="14"/>
                <c:pt idx="0">
                  <c:v>1130</c:v>
                </c:pt>
                <c:pt idx="1">
                  <c:v>120</c:v>
                </c:pt>
                <c:pt idx="2">
                  <c:v>260</c:v>
                </c:pt>
                <c:pt idx="3">
                  <c:v>195</c:v>
                </c:pt>
                <c:pt idx="4" formatCode="_(* #,##0.00_);_(* \(#,##0.00\);_(* &quot;-&quot;??_);_(@_)">
                  <c:v>95</c:v>
                </c:pt>
                <c:pt idx="5">
                  <c:v>120</c:v>
                </c:pt>
                <c:pt idx="6">
                  <c:v>1110</c:v>
                </c:pt>
                <c:pt idx="7">
                  <c:v>120</c:v>
                </c:pt>
                <c:pt idx="8">
                  <c:v>240</c:v>
                </c:pt>
                <c:pt idx="9">
                  <c:v>230</c:v>
                </c:pt>
                <c:pt idx="10">
                  <c:v>190</c:v>
                </c:pt>
                <c:pt idx="11" formatCode="_(* #,##0.00_);_(* \(#,##0.00\);_(* &quot;-&quot;??_);_(@_)">
                  <c:v>40</c:v>
                </c:pt>
                <c:pt idx="12">
                  <c:v>0</c:v>
                </c:pt>
                <c:pt idx="13">
                  <c:v>390</c:v>
                </c:pt>
              </c:numCache>
            </c:numRef>
          </c:val>
          <c:extLst>
            <c:ext xmlns:c16="http://schemas.microsoft.com/office/drawing/2014/chart" uri="{C3380CC4-5D6E-409C-BE32-E72D297353CC}">
              <c16:uniqueId val="{00000002-2046-4262-8BD6-79F95B2E13A2}"/>
            </c:ext>
          </c:extLst>
        </c:ser>
        <c:dLbls>
          <c:showLegendKey val="0"/>
          <c:showVal val="0"/>
          <c:showCatName val="0"/>
          <c:showSerName val="0"/>
          <c:showPercent val="0"/>
          <c:showBubbleSize val="0"/>
        </c:dLbls>
        <c:gapWidth val="219"/>
        <c:overlap val="-27"/>
        <c:axId val="478094575"/>
        <c:axId val="878281183"/>
      </c:barChart>
      <c:catAx>
        <c:axId val="4780945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78281183"/>
        <c:crosses val="autoZero"/>
        <c:auto val="1"/>
        <c:lblAlgn val="ctr"/>
        <c:lblOffset val="100"/>
        <c:noMultiLvlLbl val="0"/>
      </c:catAx>
      <c:valAx>
        <c:axId val="878281183"/>
        <c:scaling>
          <c:orientation val="minMax"/>
        </c:scaling>
        <c:delete val="0"/>
        <c:axPos val="l"/>
        <c:majorGridlines>
          <c:spPr>
            <a:ln w="9525" cap="flat" cmpd="sng" algn="ctr">
              <a:solidFill>
                <a:schemeClr val="tx1">
                  <a:lumMod val="15000"/>
                  <a:lumOff val="85000"/>
                </a:schemeClr>
              </a:solidFill>
              <a:round/>
            </a:ln>
            <a:effectLst/>
          </c:spPr>
        </c:majorGridlines>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094575"/>
        <c:crosses val="autoZero"/>
        <c:crossBetween val="between"/>
      </c:valAx>
      <c:spPr>
        <a:noFill/>
        <a:ln>
          <a:noFill/>
        </a:ln>
        <a:effectLst/>
      </c:spPr>
    </c:plotArea>
    <c:legend>
      <c:legendPos val="b"/>
      <c:layout>
        <c:manualLayout>
          <c:xMode val="edge"/>
          <c:yMode val="edge"/>
          <c:x val="3.7954440131412422E-2"/>
          <c:y val="0.83885358596450454"/>
          <c:w val="0.20534101770384411"/>
          <c:h val="0.1483316139302325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total jobs, fixed</a:t>
            </a:r>
            <a:r>
              <a:rPr lang="en-US" baseline="0"/>
              <a:t> and ambulatory beds by regions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Total Jobs</c:v>
          </c:tx>
          <c:spPr>
            <a:solidFill>
              <a:schemeClr val="accent1"/>
            </a:solidFill>
            <a:ln>
              <a:noFill/>
            </a:ln>
            <a:effectLst/>
          </c:spPr>
          <c:invertIfNegative val="0"/>
          <c:cat>
            <c:strRef>
              <c:f>Hospitals!$AF$4:$AF$17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Hospitals!$AU$4:$AU$17</c:f>
              <c:numCache>
                <c:formatCode>_-* #\ ##0_-;\-* #\ ##0_-;_-* "-"??_-;_-@_-</c:formatCode>
                <c:ptCount val="14"/>
                <c:pt idx="0">
                  <c:v>1059</c:v>
                </c:pt>
                <c:pt idx="1">
                  <c:v>114</c:v>
                </c:pt>
                <c:pt idx="2">
                  <c:v>883.5</c:v>
                </c:pt>
                <c:pt idx="3">
                  <c:v>159</c:v>
                </c:pt>
                <c:pt idx="4">
                  <c:v>306</c:v>
                </c:pt>
                <c:pt idx="5">
                  <c:v>36</c:v>
                </c:pt>
                <c:pt idx="6">
                  <c:v>671</c:v>
                </c:pt>
                <c:pt idx="7">
                  <c:v>0</c:v>
                </c:pt>
                <c:pt idx="8">
                  <c:v>255.25</c:v>
                </c:pt>
                <c:pt idx="9">
                  <c:v>251</c:v>
                </c:pt>
                <c:pt idx="10">
                  <c:v>45</c:v>
                </c:pt>
                <c:pt idx="11">
                  <c:v>277</c:v>
                </c:pt>
                <c:pt idx="12">
                  <c:v>0</c:v>
                </c:pt>
                <c:pt idx="13">
                  <c:v>955</c:v>
                </c:pt>
              </c:numCache>
            </c:numRef>
          </c:val>
          <c:extLst>
            <c:ext xmlns:c16="http://schemas.microsoft.com/office/drawing/2014/chart" uri="{C3380CC4-5D6E-409C-BE32-E72D297353CC}">
              <c16:uniqueId val="{00000000-B673-4286-9A28-B02F8FCA25AA}"/>
            </c:ext>
          </c:extLst>
        </c:ser>
        <c:ser>
          <c:idx val="1"/>
          <c:order val="1"/>
          <c:tx>
            <c:v>Total fixed beds</c:v>
          </c:tx>
          <c:spPr>
            <a:solidFill>
              <a:schemeClr val="accent2"/>
            </a:solidFill>
            <a:ln>
              <a:noFill/>
            </a:ln>
            <a:effectLst/>
          </c:spPr>
          <c:invertIfNegative val="0"/>
          <c:cat>
            <c:strRef>
              <c:f>Hospitals!$AF$4:$AF$17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Hospitals!$AZ$4:$AZ$17</c:f>
              <c:numCache>
                <c:formatCode>_-* #\ ##0_-;\-* #\ ##0_-;_-* "-"??_-;_-@_-</c:formatCode>
                <c:ptCount val="14"/>
                <c:pt idx="0">
                  <c:v>755</c:v>
                </c:pt>
                <c:pt idx="1">
                  <c:v>8</c:v>
                </c:pt>
                <c:pt idx="2">
                  <c:v>924</c:v>
                </c:pt>
                <c:pt idx="3">
                  <c:v>50</c:v>
                </c:pt>
                <c:pt idx="4">
                  <c:v>310</c:v>
                </c:pt>
                <c:pt idx="5">
                  <c:v>35</c:v>
                </c:pt>
                <c:pt idx="6">
                  <c:v>685</c:v>
                </c:pt>
                <c:pt idx="7">
                  <c:v>0</c:v>
                </c:pt>
                <c:pt idx="8">
                  <c:v>165</c:v>
                </c:pt>
                <c:pt idx="9">
                  <c:v>335</c:v>
                </c:pt>
                <c:pt idx="10">
                  <c:v>63</c:v>
                </c:pt>
                <c:pt idx="11">
                  <c:v>360</c:v>
                </c:pt>
                <c:pt idx="12">
                  <c:v>0</c:v>
                </c:pt>
                <c:pt idx="13">
                  <c:v>545</c:v>
                </c:pt>
              </c:numCache>
            </c:numRef>
          </c:val>
          <c:extLst>
            <c:ext xmlns:c16="http://schemas.microsoft.com/office/drawing/2014/chart" uri="{C3380CC4-5D6E-409C-BE32-E72D297353CC}">
              <c16:uniqueId val="{00000001-B673-4286-9A28-B02F8FCA25AA}"/>
            </c:ext>
          </c:extLst>
        </c:ser>
        <c:ser>
          <c:idx val="2"/>
          <c:order val="2"/>
          <c:tx>
            <c:v>Total ambulatory beds</c:v>
          </c:tx>
          <c:spPr>
            <a:solidFill>
              <a:schemeClr val="accent3"/>
            </a:solidFill>
            <a:ln>
              <a:noFill/>
            </a:ln>
            <a:effectLst/>
          </c:spPr>
          <c:invertIfNegative val="0"/>
          <c:cat>
            <c:strRef>
              <c:f>Hospitals!$AF$4:$AF$17</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Hospitals!$BA$4:$BA$17</c:f>
              <c:numCache>
                <c:formatCode>_-* #\ ##0_-;\-* #\ ##0_-;_-* "-"??_-;_-@_-</c:formatCode>
                <c:ptCount val="14"/>
                <c:pt idx="0">
                  <c:v>350</c:v>
                </c:pt>
                <c:pt idx="1">
                  <c:v>250</c:v>
                </c:pt>
                <c:pt idx="2">
                  <c:v>0</c:v>
                </c:pt>
                <c:pt idx="3">
                  <c:v>150</c:v>
                </c:pt>
                <c:pt idx="4">
                  <c:v>0</c:v>
                </c:pt>
                <c:pt idx="5">
                  <c:v>10</c:v>
                </c:pt>
                <c:pt idx="6">
                  <c:v>0</c:v>
                </c:pt>
                <c:pt idx="7">
                  <c:v>0</c:v>
                </c:pt>
                <c:pt idx="8">
                  <c:v>100</c:v>
                </c:pt>
                <c:pt idx="9">
                  <c:v>0</c:v>
                </c:pt>
                <c:pt idx="10">
                  <c:v>0</c:v>
                </c:pt>
                <c:pt idx="11">
                  <c:v>0</c:v>
                </c:pt>
                <c:pt idx="12">
                  <c:v>0</c:v>
                </c:pt>
                <c:pt idx="13">
                  <c:v>300</c:v>
                </c:pt>
              </c:numCache>
            </c:numRef>
          </c:val>
          <c:extLst>
            <c:ext xmlns:c16="http://schemas.microsoft.com/office/drawing/2014/chart" uri="{C3380CC4-5D6E-409C-BE32-E72D297353CC}">
              <c16:uniqueId val="{00000002-B673-4286-9A28-B02F8FCA25AA}"/>
            </c:ext>
          </c:extLst>
        </c:ser>
        <c:dLbls>
          <c:showLegendKey val="0"/>
          <c:showVal val="0"/>
          <c:showCatName val="0"/>
          <c:showSerName val="0"/>
          <c:showPercent val="0"/>
          <c:showBubbleSize val="0"/>
        </c:dLbls>
        <c:gapWidth val="219"/>
        <c:overlap val="-27"/>
        <c:axId val="499177679"/>
        <c:axId val="512588175"/>
      </c:barChart>
      <c:catAx>
        <c:axId val="499177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2588175"/>
        <c:crosses val="autoZero"/>
        <c:auto val="1"/>
        <c:lblAlgn val="ctr"/>
        <c:lblOffset val="100"/>
        <c:noMultiLvlLbl val="0"/>
      </c:catAx>
      <c:valAx>
        <c:axId val="512588175"/>
        <c:scaling>
          <c:orientation val="minMax"/>
        </c:scaling>
        <c:delete val="0"/>
        <c:axPos val="l"/>
        <c:majorGridlines>
          <c:spPr>
            <a:ln w="9525" cap="flat" cmpd="sng" algn="ctr">
              <a:solidFill>
                <a:schemeClr val="tx1">
                  <a:lumMod val="15000"/>
                  <a:lumOff val="85000"/>
                </a:schemeClr>
              </a:solidFill>
              <a:round/>
            </a:ln>
            <a:effectLst/>
          </c:spPr>
        </c:majorGridlines>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9177679"/>
        <c:crosses val="autoZero"/>
        <c:crossBetween val="between"/>
      </c:valAx>
      <c:spPr>
        <a:noFill/>
        <a:ln>
          <a:noFill/>
        </a:ln>
        <a:effectLst/>
      </c:spPr>
    </c:plotArea>
    <c:legend>
      <c:legendPos val="b"/>
      <c:layout>
        <c:manualLayout>
          <c:xMode val="edge"/>
          <c:yMode val="edge"/>
          <c:x val="4.9709800305578013E-2"/>
          <c:y val="0.84180235522929692"/>
          <c:w val="0.25510929788512426"/>
          <c:h val="0.13805426751894501"/>
        </c:manualLayout>
      </c:layout>
      <c:overlay val="0"/>
      <c:spPr>
        <a:noFill/>
        <a:ln>
          <a:noFill/>
        </a:ln>
        <a:effectLst/>
      </c:spPr>
      <c:txPr>
        <a:bodyPr rot="0" spcFirstLastPara="1" vertOverflow="ellipsis" vert="horz" wrap="square" anchor="ctr" anchorCtr="1"/>
        <a:lstStyle/>
        <a:p>
          <a:pPr>
            <a:defRPr sz="13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Volume of drinking water supplied and wastewater treated</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extLst>
                <c:ext xmlns:c15="http://schemas.microsoft.com/office/drawing/2012/chart" uri="{02D57815-91ED-43cb-92C2-25804820EDAC}">
                  <c15:fullRef>
                    <c15:sqref>'Drinking water'!$AA$4:$AA$17</c15:sqref>
                  </c15:fullRef>
                </c:ext>
              </c:extLst>
              <c:f>('Drinking water'!$AA$4,'Drinking water'!$AA$6:$AA$12,'Drinking water'!$AA$14:$AA$15)</c:f>
              <c:strCache>
                <c:ptCount val="10"/>
                <c:pt idx="0">
                  <c:v>Andijan</c:v>
                </c:pt>
                <c:pt idx="1">
                  <c:v>Fergana</c:v>
                </c:pt>
                <c:pt idx="2">
                  <c:v>Jizzakh</c:v>
                </c:pt>
                <c:pt idx="3">
                  <c:v>Kashkadarya</c:v>
                </c:pt>
                <c:pt idx="4">
                  <c:v>Kharezm</c:v>
                </c:pt>
                <c:pt idx="5">
                  <c:v>Namangan</c:v>
                </c:pt>
                <c:pt idx="6">
                  <c:v>Navoi</c:v>
                </c:pt>
                <c:pt idx="7">
                  <c:v>Republic of Karakalpakistan</c:v>
                </c:pt>
                <c:pt idx="8">
                  <c:v>Sirdarya</c:v>
                </c:pt>
                <c:pt idx="9">
                  <c:v>Surkhandarya</c:v>
                </c:pt>
              </c:strCache>
            </c:strRef>
          </c:cat>
          <c:val>
            <c:numRef>
              <c:extLst>
                <c:ext xmlns:c15="http://schemas.microsoft.com/office/drawing/2012/chart" uri="{02D57815-91ED-43cb-92C2-25804820EDAC}">
                  <c15:fullRef>
                    <c15:sqref>'Drinking water'!$AF$4:$AF$17</c15:sqref>
                  </c15:fullRef>
                </c:ext>
              </c:extLst>
              <c:f>('Drinking water'!$AF$4,'Drinking water'!$AF$6:$AF$12,'Drinking water'!$AF$14:$AF$15)</c:f>
              <c:numCache>
                <c:formatCode>_(* #,##0.00_);_(* \(#,##0.00\);_(* "-"??_);_(@_)</c:formatCode>
                <c:ptCount val="10"/>
                <c:pt idx="0">
                  <c:v>2160000</c:v>
                </c:pt>
                <c:pt idx="1">
                  <c:v>1331500</c:v>
                </c:pt>
                <c:pt idx="2">
                  <c:v>1985500</c:v>
                </c:pt>
                <c:pt idx="3">
                  <c:v>11895070</c:v>
                </c:pt>
                <c:pt idx="4">
                  <c:v>4486700</c:v>
                </c:pt>
                <c:pt idx="5">
                  <c:v>840000</c:v>
                </c:pt>
                <c:pt idx="6">
                  <c:v>1050000</c:v>
                </c:pt>
                <c:pt idx="7">
                  <c:v>1202240</c:v>
                </c:pt>
                <c:pt idx="8">
                  <c:v>873250</c:v>
                </c:pt>
                <c:pt idx="9">
                  <c:v>0</c:v>
                </c:pt>
              </c:numCache>
            </c:numRef>
          </c:val>
          <c:extLst>
            <c:ext xmlns:c16="http://schemas.microsoft.com/office/drawing/2014/chart" uri="{C3380CC4-5D6E-409C-BE32-E72D297353CC}">
              <c16:uniqueId val="{00000000-29DA-44BC-91D7-6E372B06D486}"/>
            </c:ext>
          </c:extLst>
        </c:ser>
        <c:ser>
          <c:idx val="1"/>
          <c:order val="1"/>
          <c:spPr>
            <a:solidFill>
              <a:schemeClr val="accent2"/>
            </a:solidFill>
            <a:ln>
              <a:noFill/>
            </a:ln>
            <a:effectLst/>
          </c:spPr>
          <c:invertIfNegative val="0"/>
          <c:cat>
            <c:strRef>
              <c:extLst>
                <c:ext xmlns:c15="http://schemas.microsoft.com/office/drawing/2012/chart" uri="{02D57815-91ED-43cb-92C2-25804820EDAC}">
                  <c15:fullRef>
                    <c15:sqref>'Drinking water'!$AA$4:$AA$17</c15:sqref>
                  </c15:fullRef>
                </c:ext>
              </c:extLst>
              <c:f>('Drinking water'!$AA$4,'Drinking water'!$AA$6:$AA$12,'Drinking water'!$AA$14:$AA$15)</c:f>
              <c:strCache>
                <c:ptCount val="10"/>
                <c:pt idx="0">
                  <c:v>Andijan</c:v>
                </c:pt>
                <c:pt idx="1">
                  <c:v>Fergana</c:v>
                </c:pt>
                <c:pt idx="2">
                  <c:v>Jizzakh</c:v>
                </c:pt>
                <c:pt idx="3">
                  <c:v>Kashkadarya</c:v>
                </c:pt>
                <c:pt idx="4">
                  <c:v>Kharezm</c:v>
                </c:pt>
                <c:pt idx="5">
                  <c:v>Namangan</c:v>
                </c:pt>
                <c:pt idx="6">
                  <c:v>Navoi</c:v>
                </c:pt>
                <c:pt idx="7">
                  <c:v>Republic of Karakalpakistan</c:v>
                </c:pt>
                <c:pt idx="8">
                  <c:v>Sirdarya</c:v>
                </c:pt>
                <c:pt idx="9">
                  <c:v>Surkhandarya</c:v>
                </c:pt>
              </c:strCache>
            </c:strRef>
          </c:cat>
          <c:val>
            <c:numRef>
              <c:extLst>
                <c:ext xmlns:c15="http://schemas.microsoft.com/office/drawing/2012/chart" uri="{02D57815-91ED-43cb-92C2-25804820EDAC}">
                  <c15:fullRef>
                    <c15:sqref>'Drinking water'!$AG$4:$AG$17</c15:sqref>
                  </c15:fullRef>
                </c:ext>
              </c:extLst>
              <c:f>('Drinking water'!$AG$4,'Drinking water'!$AG$6:$AG$12,'Drinking water'!$AG$14:$AG$15)</c:f>
              <c:numCache>
                <c:formatCode>_(* #,##0.00_);_(* \(#,##0.00\);_(* "-"??_);_(@_)</c:formatCode>
                <c:ptCount val="10"/>
                <c:pt idx="0">
                  <c:v>2196000</c:v>
                </c:pt>
                <c:pt idx="1">
                  <c:v>0</c:v>
                </c:pt>
                <c:pt idx="2">
                  <c:v>0</c:v>
                </c:pt>
                <c:pt idx="3">
                  <c:v>0</c:v>
                </c:pt>
                <c:pt idx="4">
                  <c:v>370360</c:v>
                </c:pt>
                <c:pt idx="5">
                  <c:v>0</c:v>
                </c:pt>
                <c:pt idx="6">
                  <c:v>0</c:v>
                </c:pt>
                <c:pt idx="7">
                  <c:v>0</c:v>
                </c:pt>
                <c:pt idx="8">
                  <c:v>0</c:v>
                </c:pt>
                <c:pt idx="9">
                  <c:v>3067000</c:v>
                </c:pt>
              </c:numCache>
            </c:numRef>
          </c:val>
          <c:extLst>
            <c:ext xmlns:c16="http://schemas.microsoft.com/office/drawing/2014/chart" uri="{C3380CC4-5D6E-409C-BE32-E72D297353CC}">
              <c16:uniqueId val="{00000001-29DA-44BC-91D7-6E372B06D486}"/>
            </c:ext>
          </c:extLst>
        </c:ser>
        <c:dLbls>
          <c:showLegendKey val="0"/>
          <c:showVal val="0"/>
          <c:showCatName val="0"/>
          <c:showSerName val="0"/>
          <c:showPercent val="0"/>
          <c:showBubbleSize val="0"/>
        </c:dLbls>
        <c:gapWidth val="219"/>
        <c:overlap val="-27"/>
        <c:axId val="793394399"/>
        <c:axId val="652115791"/>
      </c:barChart>
      <c:catAx>
        <c:axId val="793394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2115791"/>
        <c:crosses val="autoZero"/>
        <c:auto val="1"/>
        <c:lblAlgn val="ctr"/>
        <c:lblOffset val="100"/>
        <c:noMultiLvlLbl val="0"/>
      </c:catAx>
      <c:valAx>
        <c:axId val="652115791"/>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3394399"/>
        <c:crosses val="autoZero"/>
        <c:crossBetween val="between"/>
      </c:valAx>
      <c:spPr>
        <a:noFill/>
        <a:ln>
          <a:noFill/>
        </a:ln>
        <a:effectLst/>
      </c:spPr>
    </c:plotArea>
    <c:legend>
      <c:legendPos val="b"/>
      <c:layout>
        <c:manualLayout>
          <c:xMode val="edge"/>
          <c:yMode val="edge"/>
          <c:x val="4.4733056121952997E-2"/>
          <c:y val="0.84273653245646063"/>
          <c:w val="0.24898327984182347"/>
          <c:h val="0.1085441382681192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Lengths</a:t>
            </a:r>
            <a:r>
              <a:rPr lang="en-US" baseline="0"/>
              <a:t> of constructed and reconstructed d</a:t>
            </a:r>
            <a:r>
              <a:rPr lang="en-US"/>
              <a:t>rinking</a:t>
            </a:r>
            <a:r>
              <a:rPr lang="en-US" baseline="0"/>
              <a:t> water and sewage pipelines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7737626304019763E-2"/>
          <c:y val="0.10544420753375977"/>
          <c:w val="0.91335289433472266"/>
          <c:h val="0.56573040310259726"/>
        </c:manualLayout>
      </c:layout>
      <c:barChart>
        <c:barDir val="col"/>
        <c:grouping val="stacked"/>
        <c:varyColors val="0"/>
        <c:ser>
          <c:idx val="0"/>
          <c:order val="0"/>
          <c:tx>
            <c:v>Drinking water pipes constructed</c:v>
          </c:tx>
          <c:spPr>
            <a:solidFill>
              <a:schemeClr val="accent1"/>
            </a:solidFill>
            <a:ln>
              <a:noFill/>
            </a:ln>
            <a:effectLst/>
          </c:spPr>
          <c:invertIfNegative val="0"/>
          <c:cat>
            <c:strRef>
              <c:extLst>
                <c:ext xmlns:c15="http://schemas.microsoft.com/office/drawing/2012/chart" uri="{02D57815-91ED-43cb-92C2-25804820EDAC}">
                  <c15:fullRef>
                    <c15:sqref>'Drinking water'!$AA$4:$AA$17</c15:sqref>
                  </c15:fullRef>
                </c:ext>
              </c:extLst>
              <c:f>('Drinking water'!$AA$4,'Drinking water'!$AA$6:$AA$12,'Drinking water'!$AA$14:$AA$15)</c:f>
              <c:strCache>
                <c:ptCount val="10"/>
                <c:pt idx="0">
                  <c:v>Andijan</c:v>
                </c:pt>
                <c:pt idx="1">
                  <c:v>Fergana</c:v>
                </c:pt>
                <c:pt idx="2">
                  <c:v>Jizzakh</c:v>
                </c:pt>
                <c:pt idx="3">
                  <c:v>Kashkadarya</c:v>
                </c:pt>
                <c:pt idx="4">
                  <c:v>Kharezm</c:v>
                </c:pt>
                <c:pt idx="5">
                  <c:v>Namangan</c:v>
                </c:pt>
                <c:pt idx="6">
                  <c:v>Navoi</c:v>
                </c:pt>
                <c:pt idx="7">
                  <c:v>Republic of Karakalpakistan</c:v>
                </c:pt>
                <c:pt idx="8">
                  <c:v>Sirdarya</c:v>
                </c:pt>
                <c:pt idx="9">
                  <c:v>Surkhandarya</c:v>
                </c:pt>
              </c:strCache>
            </c:strRef>
          </c:cat>
          <c:val>
            <c:numRef>
              <c:extLst>
                <c:ext xmlns:c15="http://schemas.microsoft.com/office/drawing/2012/chart" uri="{02D57815-91ED-43cb-92C2-25804820EDAC}">
                  <c15:fullRef>
                    <c15:sqref>'Drinking water'!$AK$4:$AK$17</c15:sqref>
                  </c15:fullRef>
                </c:ext>
              </c:extLst>
              <c:f>('Drinking water'!$AK$4,'Drinking water'!$AK$6:$AK$12,'Drinking water'!$AK$14:$AK$15)</c:f>
              <c:numCache>
                <c:formatCode>_(* #,##0.00_);_(* \(#,##0.00\);_(* "-"??_);_(@_)</c:formatCode>
                <c:ptCount val="10"/>
                <c:pt idx="0">
                  <c:v>5</c:v>
                </c:pt>
                <c:pt idx="1">
                  <c:v>4.117</c:v>
                </c:pt>
                <c:pt idx="2">
                  <c:v>12.5</c:v>
                </c:pt>
                <c:pt idx="3">
                  <c:v>18.2</c:v>
                </c:pt>
                <c:pt idx="4">
                  <c:v>65.223000000000013</c:v>
                </c:pt>
                <c:pt idx="5">
                  <c:v>22.5</c:v>
                </c:pt>
                <c:pt idx="6">
                  <c:v>13.29</c:v>
                </c:pt>
                <c:pt idx="7">
                  <c:v>10.260999999999999</c:v>
                </c:pt>
                <c:pt idx="8">
                  <c:v>16.100000000000001</c:v>
                </c:pt>
                <c:pt idx="9">
                  <c:v>0</c:v>
                </c:pt>
              </c:numCache>
            </c:numRef>
          </c:val>
          <c:extLst>
            <c:ext xmlns:c16="http://schemas.microsoft.com/office/drawing/2014/chart" uri="{C3380CC4-5D6E-409C-BE32-E72D297353CC}">
              <c16:uniqueId val="{00000000-3B7B-46D4-9DAC-6859BB5D1D09}"/>
            </c:ext>
          </c:extLst>
        </c:ser>
        <c:ser>
          <c:idx val="1"/>
          <c:order val="1"/>
          <c:tx>
            <c:v>Sewage pipes constructed</c:v>
          </c:tx>
          <c:spPr>
            <a:solidFill>
              <a:schemeClr val="accent2"/>
            </a:solidFill>
            <a:ln>
              <a:noFill/>
            </a:ln>
            <a:effectLst/>
          </c:spPr>
          <c:invertIfNegative val="0"/>
          <c:cat>
            <c:strRef>
              <c:extLst>
                <c:ext xmlns:c15="http://schemas.microsoft.com/office/drawing/2012/chart" uri="{02D57815-91ED-43cb-92C2-25804820EDAC}">
                  <c15:fullRef>
                    <c15:sqref>'Drinking water'!$AA$4:$AA$17</c15:sqref>
                  </c15:fullRef>
                </c:ext>
              </c:extLst>
              <c:f>('Drinking water'!$AA$4,'Drinking water'!$AA$6:$AA$12,'Drinking water'!$AA$14:$AA$15)</c:f>
              <c:strCache>
                <c:ptCount val="10"/>
                <c:pt idx="0">
                  <c:v>Andijan</c:v>
                </c:pt>
                <c:pt idx="1">
                  <c:v>Fergana</c:v>
                </c:pt>
                <c:pt idx="2">
                  <c:v>Jizzakh</c:v>
                </c:pt>
                <c:pt idx="3">
                  <c:v>Kashkadarya</c:v>
                </c:pt>
                <c:pt idx="4">
                  <c:v>Kharezm</c:v>
                </c:pt>
                <c:pt idx="5">
                  <c:v>Namangan</c:v>
                </c:pt>
                <c:pt idx="6">
                  <c:v>Navoi</c:v>
                </c:pt>
                <c:pt idx="7">
                  <c:v>Republic of Karakalpakistan</c:v>
                </c:pt>
                <c:pt idx="8">
                  <c:v>Sirdarya</c:v>
                </c:pt>
                <c:pt idx="9">
                  <c:v>Surkhandarya</c:v>
                </c:pt>
              </c:strCache>
            </c:strRef>
          </c:cat>
          <c:val>
            <c:numRef>
              <c:extLst>
                <c:ext xmlns:c15="http://schemas.microsoft.com/office/drawing/2012/chart" uri="{02D57815-91ED-43cb-92C2-25804820EDAC}">
                  <c15:fullRef>
                    <c15:sqref>'Drinking water'!$AL$4:$AL$17</c15:sqref>
                  </c15:fullRef>
                </c:ext>
              </c:extLst>
              <c:f>('Drinking water'!$AL$4,'Drinking water'!$AL$6:$AL$12,'Drinking water'!$AL$14:$AL$15)</c:f>
              <c:numCache>
                <c:formatCode>_(* #,##0.00_);_(* \(#,##0.00\);_(* "-"??_);_(@_)</c:formatCode>
                <c:ptCount val="10"/>
                <c:pt idx="0">
                  <c:v>5.5</c:v>
                </c:pt>
                <c:pt idx="1">
                  <c:v>0</c:v>
                </c:pt>
                <c:pt idx="2">
                  <c:v>0</c:v>
                </c:pt>
                <c:pt idx="3">
                  <c:v>0</c:v>
                </c:pt>
                <c:pt idx="4">
                  <c:v>0</c:v>
                </c:pt>
                <c:pt idx="5">
                  <c:v>0</c:v>
                </c:pt>
                <c:pt idx="6">
                  <c:v>0</c:v>
                </c:pt>
                <c:pt idx="7">
                  <c:v>0</c:v>
                </c:pt>
                <c:pt idx="8">
                  <c:v>0</c:v>
                </c:pt>
                <c:pt idx="9">
                  <c:v>13.5</c:v>
                </c:pt>
              </c:numCache>
            </c:numRef>
          </c:val>
          <c:extLst>
            <c:ext xmlns:c16="http://schemas.microsoft.com/office/drawing/2014/chart" uri="{C3380CC4-5D6E-409C-BE32-E72D297353CC}">
              <c16:uniqueId val="{00000001-3B7B-46D4-9DAC-6859BB5D1D09}"/>
            </c:ext>
          </c:extLst>
        </c:ser>
        <c:ser>
          <c:idx val="2"/>
          <c:order val="2"/>
          <c:tx>
            <c:v>Drinking water pipes reconstructed</c:v>
          </c:tx>
          <c:spPr>
            <a:solidFill>
              <a:schemeClr val="accent3"/>
            </a:solidFill>
            <a:ln>
              <a:noFill/>
            </a:ln>
            <a:effectLst/>
          </c:spPr>
          <c:invertIfNegative val="0"/>
          <c:cat>
            <c:strRef>
              <c:extLst>
                <c:ext xmlns:c15="http://schemas.microsoft.com/office/drawing/2012/chart" uri="{02D57815-91ED-43cb-92C2-25804820EDAC}">
                  <c15:fullRef>
                    <c15:sqref>'Drinking water'!$AA$4:$AA$17</c15:sqref>
                  </c15:fullRef>
                </c:ext>
              </c:extLst>
              <c:f>('Drinking water'!$AA$4,'Drinking water'!$AA$6:$AA$12,'Drinking water'!$AA$14:$AA$15)</c:f>
              <c:strCache>
                <c:ptCount val="10"/>
                <c:pt idx="0">
                  <c:v>Andijan</c:v>
                </c:pt>
                <c:pt idx="1">
                  <c:v>Fergana</c:v>
                </c:pt>
                <c:pt idx="2">
                  <c:v>Jizzakh</c:v>
                </c:pt>
                <c:pt idx="3">
                  <c:v>Kashkadarya</c:v>
                </c:pt>
                <c:pt idx="4">
                  <c:v>Kharezm</c:v>
                </c:pt>
                <c:pt idx="5">
                  <c:v>Namangan</c:v>
                </c:pt>
                <c:pt idx="6">
                  <c:v>Navoi</c:v>
                </c:pt>
                <c:pt idx="7">
                  <c:v>Republic of Karakalpakistan</c:v>
                </c:pt>
                <c:pt idx="8">
                  <c:v>Sirdarya</c:v>
                </c:pt>
                <c:pt idx="9">
                  <c:v>Surkhandarya</c:v>
                </c:pt>
              </c:strCache>
            </c:strRef>
          </c:cat>
          <c:val>
            <c:numRef>
              <c:extLst>
                <c:ext xmlns:c15="http://schemas.microsoft.com/office/drawing/2012/chart" uri="{02D57815-91ED-43cb-92C2-25804820EDAC}">
                  <c15:fullRef>
                    <c15:sqref>'Drinking water'!$AR$4:$AR$17</c15:sqref>
                  </c15:fullRef>
                </c:ext>
              </c:extLst>
              <c:f>('Drinking water'!$AR$4,'Drinking water'!$AR$6:$AR$12,'Drinking water'!$AR$14:$AR$15)</c:f>
              <c:numCache>
                <c:formatCode>_(* #,##0.00_);_(* \(#,##0.00\);_(* "-"??_);_(@_)</c:formatCode>
                <c:ptCount val="10"/>
                <c:pt idx="0">
                  <c:v>0</c:v>
                </c:pt>
                <c:pt idx="1">
                  <c:v>0</c:v>
                </c:pt>
                <c:pt idx="2">
                  <c:v>0</c:v>
                </c:pt>
                <c:pt idx="3">
                  <c:v>10.97</c:v>
                </c:pt>
                <c:pt idx="4">
                  <c:v>0</c:v>
                </c:pt>
                <c:pt idx="5">
                  <c:v>0</c:v>
                </c:pt>
                <c:pt idx="6">
                  <c:v>0</c:v>
                </c:pt>
                <c:pt idx="7">
                  <c:v>9.6280000000000001</c:v>
                </c:pt>
                <c:pt idx="8">
                  <c:v>0</c:v>
                </c:pt>
                <c:pt idx="9">
                  <c:v>0</c:v>
                </c:pt>
              </c:numCache>
            </c:numRef>
          </c:val>
          <c:extLst>
            <c:ext xmlns:c16="http://schemas.microsoft.com/office/drawing/2014/chart" uri="{C3380CC4-5D6E-409C-BE32-E72D297353CC}">
              <c16:uniqueId val="{00000002-3B7B-46D4-9DAC-6859BB5D1D09}"/>
            </c:ext>
          </c:extLst>
        </c:ser>
        <c:ser>
          <c:idx val="3"/>
          <c:order val="3"/>
          <c:tx>
            <c:v>Sewage pipes reconstructed</c:v>
          </c:tx>
          <c:spPr>
            <a:solidFill>
              <a:schemeClr val="accent4"/>
            </a:solidFill>
            <a:ln>
              <a:noFill/>
            </a:ln>
            <a:effectLst/>
          </c:spPr>
          <c:invertIfNegative val="0"/>
          <c:cat>
            <c:strRef>
              <c:extLst>
                <c:ext xmlns:c15="http://schemas.microsoft.com/office/drawing/2012/chart" uri="{02D57815-91ED-43cb-92C2-25804820EDAC}">
                  <c15:fullRef>
                    <c15:sqref>'Drinking water'!$AA$4:$AA$17</c15:sqref>
                  </c15:fullRef>
                </c:ext>
              </c:extLst>
              <c:f>('Drinking water'!$AA$4,'Drinking water'!$AA$6:$AA$12,'Drinking water'!$AA$14:$AA$15)</c:f>
              <c:strCache>
                <c:ptCount val="10"/>
                <c:pt idx="0">
                  <c:v>Andijan</c:v>
                </c:pt>
                <c:pt idx="1">
                  <c:v>Fergana</c:v>
                </c:pt>
                <c:pt idx="2">
                  <c:v>Jizzakh</c:v>
                </c:pt>
                <c:pt idx="3">
                  <c:v>Kashkadarya</c:v>
                </c:pt>
                <c:pt idx="4">
                  <c:v>Kharezm</c:v>
                </c:pt>
                <c:pt idx="5">
                  <c:v>Namangan</c:v>
                </c:pt>
                <c:pt idx="6">
                  <c:v>Navoi</c:v>
                </c:pt>
                <c:pt idx="7">
                  <c:v>Republic of Karakalpakistan</c:v>
                </c:pt>
                <c:pt idx="8">
                  <c:v>Sirdarya</c:v>
                </c:pt>
                <c:pt idx="9">
                  <c:v>Surkhandarya</c:v>
                </c:pt>
              </c:strCache>
            </c:strRef>
          </c:cat>
          <c:val>
            <c:numRef>
              <c:extLst>
                <c:ext xmlns:c15="http://schemas.microsoft.com/office/drawing/2012/chart" uri="{02D57815-91ED-43cb-92C2-25804820EDAC}">
                  <c15:fullRef>
                    <c15:sqref>'Drinking water'!$AS$4:$AS$17</c15:sqref>
                  </c15:fullRef>
                </c:ext>
              </c:extLst>
              <c:f>('Drinking water'!$AS$4,'Drinking water'!$AS$6:$AS$12,'Drinking water'!$AS$14:$AS$15)</c:f>
              <c:numCache>
                <c:formatCode>_(* #,##0.00_);_(* \(#,##0.00\);_(* "-"??_);_(@_)</c:formatCode>
                <c:ptCount val="10"/>
                <c:pt idx="0">
                  <c:v>3</c:v>
                </c:pt>
                <c:pt idx="1">
                  <c:v>0</c:v>
                </c:pt>
                <c:pt idx="2">
                  <c:v>0</c:v>
                </c:pt>
                <c:pt idx="3">
                  <c:v>0</c:v>
                </c:pt>
                <c:pt idx="4">
                  <c:v>14.280000000000001</c:v>
                </c:pt>
                <c:pt idx="5">
                  <c:v>0</c:v>
                </c:pt>
                <c:pt idx="6">
                  <c:v>0</c:v>
                </c:pt>
                <c:pt idx="7">
                  <c:v>0</c:v>
                </c:pt>
                <c:pt idx="8">
                  <c:v>0</c:v>
                </c:pt>
                <c:pt idx="9">
                  <c:v>0</c:v>
                </c:pt>
              </c:numCache>
            </c:numRef>
          </c:val>
          <c:extLst>
            <c:ext xmlns:c16="http://schemas.microsoft.com/office/drawing/2014/chart" uri="{C3380CC4-5D6E-409C-BE32-E72D297353CC}">
              <c16:uniqueId val="{00000003-3B7B-46D4-9DAC-6859BB5D1D09}"/>
            </c:ext>
          </c:extLst>
        </c:ser>
        <c:dLbls>
          <c:showLegendKey val="0"/>
          <c:showVal val="0"/>
          <c:showCatName val="0"/>
          <c:showSerName val="0"/>
          <c:showPercent val="0"/>
          <c:showBubbleSize val="0"/>
        </c:dLbls>
        <c:gapWidth val="150"/>
        <c:overlap val="100"/>
        <c:axId val="876208703"/>
        <c:axId val="661706687"/>
      </c:barChart>
      <c:catAx>
        <c:axId val="8762087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661706687"/>
        <c:crosses val="autoZero"/>
        <c:auto val="1"/>
        <c:lblAlgn val="ctr"/>
        <c:lblOffset val="100"/>
        <c:noMultiLvlLbl val="0"/>
      </c:catAx>
      <c:valAx>
        <c:axId val="661706687"/>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6208703"/>
        <c:crosses val="autoZero"/>
        <c:crossBetween val="between"/>
      </c:valAx>
      <c:spPr>
        <a:noFill/>
        <a:ln>
          <a:noFill/>
        </a:ln>
        <a:effectLst/>
      </c:spPr>
    </c:plotArea>
    <c:legend>
      <c:legendPos val="b"/>
      <c:layout>
        <c:manualLayout>
          <c:xMode val="edge"/>
          <c:yMode val="edge"/>
          <c:x val="1.3442108635703397E-2"/>
          <c:y val="0.80987883977189423"/>
          <c:w val="0.36285517707570114"/>
          <c:h val="0.1645348062835428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Lengths of canals</a:t>
            </a:r>
            <a:r>
              <a:rPr lang="en-US" baseline="0"/>
              <a:t> reconstructed by region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Irrigation!$U$3:$U$16</c:f>
              <c:strCache>
                <c:ptCount val="14"/>
                <c:pt idx="0">
                  <c:v>Andijan</c:v>
                </c:pt>
                <c:pt idx="1">
                  <c:v>Bukhara</c:v>
                </c:pt>
                <c:pt idx="2">
                  <c:v>Fergana</c:v>
                </c:pt>
                <c:pt idx="3">
                  <c:v>Jizzakh</c:v>
                </c:pt>
                <c:pt idx="4">
                  <c:v>Kashkadarya</c:v>
                </c:pt>
                <c:pt idx="5">
                  <c:v>Kharezm</c:v>
                </c:pt>
                <c:pt idx="6">
                  <c:v>Namangan</c:v>
                </c:pt>
                <c:pt idx="7">
                  <c:v>Navoi</c:v>
                </c:pt>
                <c:pt idx="8">
                  <c:v>Republic of Karakalpakistan</c:v>
                </c:pt>
                <c:pt idx="9">
                  <c:v>Samarkand</c:v>
                </c:pt>
                <c:pt idx="10">
                  <c:v>Sirdarya</c:v>
                </c:pt>
                <c:pt idx="11">
                  <c:v>Surkhandarya</c:v>
                </c:pt>
                <c:pt idx="12">
                  <c:v>Tashkent city</c:v>
                </c:pt>
                <c:pt idx="13">
                  <c:v>Tashkent region</c:v>
                </c:pt>
              </c:strCache>
            </c:strRef>
          </c:cat>
          <c:val>
            <c:numRef>
              <c:f>Irrigation!$X$3:$X$16</c:f>
              <c:numCache>
                <c:formatCode>General</c:formatCode>
                <c:ptCount val="14"/>
                <c:pt idx="0">
                  <c:v>18.600000000000001</c:v>
                </c:pt>
                <c:pt idx="1">
                  <c:v>5.3</c:v>
                </c:pt>
                <c:pt idx="2">
                  <c:v>5.9</c:v>
                </c:pt>
                <c:pt idx="3">
                  <c:v>1.33</c:v>
                </c:pt>
                <c:pt idx="4">
                  <c:v>0</c:v>
                </c:pt>
                <c:pt idx="5">
                  <c:v>16.489999999999998</c:v>
                </c:pt>
                <c:pt idx="6">
                  <c:v>2.5</c:v>
                </c:pt>
                <c:pt idx="7">
                  <c:v>6.73</c:v>
                </c:pt>
                <c:pt idx="8">
                  <c:v>25</c:v>
                </c:pt>
                <c:pt idx="9">
                  <c:v>1.9</c:v>
                </c:pt>
                <c:pt idx="10">
                  <c:v>8.1999999999999993</c:v>
                </c:pt>
                <c:pt idx="11">
                  <c:v>0</c:v>
                </c:pt>
                <c:pt idx="12">
                  <c:v>0</c:v>
                </c:pt>
                <c:pt idx="13">
                  <c:v>8</c:v>
                </c:pt>
              </c:numCache>
            </c:numRef>
          </c:val>
          <c:extLst>
            <c:ext xmlns:c16="http://schemas.microsoft.com/office/drawing/2014/chart" uri="{C3380CC4-5D6E-409C-BE32-E72D297353CC}">
              <c16:uniqueId val="{00000000-766D-43EE-92BF-D96879674E2D}"/>
            </c:ext>
          </c:extLst>
        </c:ser>
        <c:dLbls>
          <c:showLegendKey val="0"/>
          <c:showVal val="0"/>
          <c:showCatName val="0"/>
          <c:showSerName val="0"/>
          <c:showPercent val="0"/>
          <c:showBubbleSize val="0"/>
        </c:dLbls>
        <c:gapWidth val="219"/>
        <c:overlap val="-27"/>
        <c:axId val="800419919"/>
        <c:axId val="653040559"/>
      </c:barChart>
      <c:catAx>
        <c:axId val="8004199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3040559"/>
        <c:crosses val="autoZero"/>
        <c:auto val="1"/>
        <c:lblAlgn val="ctr"/>
        <c:lblOffset val="100"/>
        <c:noMultiLvlLbl val="0"/>
      </c:catAx>
      <c:valAx>
        <c:axId val="6530405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04199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hyperlink" Target="http://mail.uzpak.uz/Session/597-SDkCXe7Nbj2dPRwbmzqr/MessagePart/INBOX/522-02-B/untitled.dat" TargetMode="Externa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8</xdr:col>
      <xdr:colOff>622458</xdr:colOff>
      <xdr:row>13</xdr:row>
      <xdr:rowOff>384449</xdr:rowOff>
    </xdr:from>
    <xdr:to>
      <xdr:col>11</xdr:col>
      <xdr:colOff>333964</xdr:colOff>
      <xdr:row>27</xdr:row>
      <xdr:rowOff>54562</xdr:rowOff>
    </xdr:to>
    <xdr:graphicFrame macro="">
      <xdr:nvGraphicFramePr>
        <xdr:cNvPr id="5" name="Gráfico 4">
          <a:extLst>
            <a:ext uri="{FF2B5EF4-FFF2-40B4-BE49-F238E27FC236}">
              <a16:creationId xmlns:a16="http://schemas.microsoft.com/office/drawing/2014/main" id="{B1411990-AA44-E721-12CA-629A9666FB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167765</xdr:colOff>
      <xdr:row>9</xdr:row>
      <xdr:rowOff>541239</xdr:rowOff>
    </xdr:from>
    <xdr:to>
      <xdr:col>19</xdr:col>
      <xdr:colOff>1259024</xdr:colOff>
      <xdr:row>17</xdr:row>
      <xdr:rowOff>54563</xdr:rowOff>
    </xdr:to>
    <xdr:graphicFrame macro="">
      <xdr:nvGraphicFramePr>
        <xdr:cNvPr id="8" name="Gráfico 7">
          <a:extLst>
            <a:ext uri="{FF2B5EF4-FFF2-40B4-BE49-F238E27FC236}">
              <a16:creationId xmlns:a16="http://schemas.microsoft.com/office/drawing/2014/main" id="{6A72ADC4-CAE0-1FC0-9072-24E72D5223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30</xdr:col>
      <xdr:colOff>780815</xdr:colOff>
      <xdr:row>9</xdr:row>
      <xdr:rowOff>218252</xdr:rowOff>
    </xdr:from>
    <xdr:to>
      <xdr:col>36</xdr:col>
      <xdr:colOff>112889</xdr:colOff>
      <xdr:row>14</xdr:row>
      <xdr:rowOff>186267</xdr:rowOff>
    </xdr:to>
    <xdr:graphicFrame macro="">
      <xdr:nvGraphicFramePr>
        <xdr:cNvPr id="4" name="Chart 3">
          <a:extLst>
            <a:ext uri="{FF2B5EF4-FFF2-40B4-BE49-F238E27FC236}">
              <a16:creationId xmlns:a16="http://schemas.microsoft.com/office/drawing/2014/main" id="{9290C309-6CC4-ED68-94D9-949CBF079E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30</xdr:col>
      <xdr:colOff>1259759</xdr:colOff>
      <xdr:row>19</xdr:row>
      <xdr:rowOff>208935</xdr:rowOff>
    </xdr:from>
    <xdr:to>
      <xdr:col>47</xdr:col>
      <xdr:colOff>258097</xdr:colOff>
      <xdr:row>28</xdr:row>
      <xdr:rowOff>184355</xdr:rowOff>
    </xdr:to>
    <xdr:graphicFrame macro="">
      <xdr:nvGraphicFramePr>
        <xdr:cNvPr id="2" name="Chart 1">
          <a:extLst>
            <a:ext uri="{FF2B5EF4-FFF2-40B4-BE49-F238E27FC236}">
              <a16:creationId xmlns:a16="http://schemas.microsoft.com/office/drawing/2014/main" id="{04F1F457-C53F-A84A-D5D8-8982085784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28</xdr:col>
      <xdr:colOff>3158434</xdr:colOff>
      <xdr:row>19</xdr:row>
      <xdr:rowOff>478183</xdr:rowOff>
    </xdr:from>
    <xdr:to>
      <xdr:col>42</xdr:col>
      <xdr:colOff>320260</xdr:colOff>
      <xdr:row>25</xdr:row>
      <xdr:rowOff>684696</xdr:rowOff>
    </xdr:to>
    <xdr:graphicFrame macro="">
      <xdr:nvGraphicFramePr>
        <xdr:cNvPr id="2" name="Chart 1">
          <a:extLst>
            <a:ext uri="{FF2B5EF4-FFF2-40B4-BE49-F238E27FC236}">
              <a16:creationId xmlns:a16="http://schemas.microsoft.com/office/drawing/2014/main" id="{12DB7356-050C-EDFE-6FA5-84C92669BE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34</xdr:col>
      <xdr:colOff>565547</xdr:colOff>
      <xdr:row>20</xdr:row>
      <xdr:rowOff>271461</xdr:rowOff>
    </xdr:from>
    <xdr:to>
      <xdr:col>44</xdr:col>
      <xdr:colOff>440531</xdr:colOff>
      <xdr:row>29</xdr:row>
      <xdr:rowOff>416718</xdr:rowOff>
    </xdr:to>
    <xdr:graphicFrame macro="">
      <xdr:nvGraphicFramePr>
        <xdr:cNvPr id="2" name="Chart 1">
          <a:extLst>
            <a:ext uri="{FF2B5EF4-FFF2-40B4-BE49-F238E27FC236}">
              <a16:creationId xmlns:a16="http://schemas.microsoft.com/office/drawing/2014/main" id="{028195EA-A748-C7A1-CCAE-5653D23BA3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2</xdr:col>
      <xdr:colOff>0</xdr:colOff>
      <xdr:row>21</xdr:row>
      <xdr:rowOff>0</xdr:rowOff>
    </xdr:from>
    <xdr:ext cx="320040" cy="121920"/>
    <xdr:sp macro="" textlink="">
      <xdr:nvSpPr>
        <xdr:cNvPr id="2" name="AutoShape 1" descr="AttachedFile">
          <a:hlinkClick xmlns:r="http://schemas.openxmlformats.org/officeDocument/2006/relationships" r:id="rId1"/>
          <a:extLst>
            <a:ext uri="{FF2B5EF4-FFF2-40B4-BE49-F238E27FC236}">
              <a16:creationId xmlns:a16="http://schemas.microsoft.com/office/drawing/2014/main" id="{D21CA305-E19D-4C1A-8982-DD17B0610C2D}"/>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3" name="AutoShape 1" descr="AttachedFile">
          <a:hlinkClick xmlns:r="http://schemas.openxmlformats.org/officeDocument/2006/relationships" r:id="rId1"/>
          <a:extLst>
            <a:ext uri="{FF2B5EF4-FFF2-40B4-BE49-F238E27FC236}">
              <a16:creationId xmlns:a16="http://schemas.microsoft.com/office/drawing/2014/main" id="{F3D173A2-ADCE-4DE5-BC9F-602A6FEA4841}"/>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4" name="AutoShape 1" descr="AttachedFile">
          <a:hlinkClick xmlns:r="http://schemas.openxmlformats.org/officeDocument/2006/relationships" r:id="rId1"/>
          <a:extLst>
            <a:ext uri="{FF2B5EF4-FFF2-40B4-BE49-F238E27FC236}">
              <a16:creationId xmlns:a16="http://schemas.microsoft.com/office/drawing/2014/main" id="{B634C883-B530-467C-B33D-C6ED0930B701}"/>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5" name="AutoShape 1" descr="AttachedFile">
          <a:hlinkClick xmlns:r="http://schemas.openxmlformats.org/officeDocument/2006/relationships" r:id="rId1"/>
          <a:extLst>
            <a:ext uri="{FF2B5EF4-FFF2-40B4-BE49-F238E27FC236}">
              <a16:creationId xmlns:a16="http://schemas.microsoft.com/office/drawing/2014/main" id="{3F748E0C-1A76-474D-959B-8CD448E1F514}"/>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6" name="AutoShape 1" descr="AttachedFile">
          <a:hlinkClick xmlns:r="http://schemas.openxmlformats.org/officeDocument/2006/relationships" r:id="rId1"/>
          <a:extLst>
            <a:ext uri="{FF2B5EF4-FFF2-40B4-BE49-F238E27FC236}">
              <a16:creationId xmlns:a16="http://schemas.microsoft.com/office/drawing/2014/main" id="{6D0C550D-E912-40BF-9B27-2A5579D30836}"/>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7" name="AutoShape 1" descr="AttachedFile">
          <a:hlinkClick xmlns:r="http://schemas.openxmlformats.org/officeDocument/2006/relationships" r:id="rId1"/>
          <a:extLst>
            <a:ext uri="{FF2B5EF4-FFF2-40B4-BE49-F238E27FC236}">
              <a16:creationId xmlns:a16="http://schemas.microsoft.com/office/drawing/2014/main" id="{42081BC2-778E-4C91-AE5C-DC56526C7DBD}"/>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8" name="AutoShape 1" descr="AttachedFile">
          <a:hlinkClick xmlns:r="http://schemas.openxmlformats.org/officeDocument/2006/relationships" r:id="rId1"/>
          <a:extLst>
            <a:ext uri="{FF2B5EF4-FFF2-40B4-BE49-F238E27FC236}">
              <a16:creationId xmlns:a16="http://schemas.microsoft.com/office/drawing/2014/main" id="{19AA3A40-18A9-4343-8769-1ACC05ACE256}"/>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9" name="AutoShape 1" descr="AttachedFile">
          <a:hlinkClick xmlns:r="http://schemas.openxmlformats.org/officeDocument/2006/relationships" r:id="rId1"/>
          <a:extLst>
            <a:ext uri="{FF2B5EF4-FFF2-40B4-BE49-F238E27FC236}">
              <a16:creationId xmlns:a16="http://schemas.microsoft.com/office/drawing/2014/main" id="{1AC781C4-0577-4C42-8919-7FA88EE69A54}"/>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10" name="AutoShape 1" descr="AttachedFile">
          <a:hlinkClick xmlns:r="http://schemas.openxmlformats.org/officeDocument/2006/relationships" r:id="rId1"/>
          <a:extLst>
            <a:ext uri="{FF2B5EF4-FFF2-40B4-BE49-F238E27FC236}">
              <a16:creationId xmlns:a16="http://schemas.microsoft.com/office/drawing/2014/main" id="{950B8A95-2A76-41C5-A872-AC4AB7CDEBE1}"/>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11" name="AutoShape 1" descr="AttachedFile">
          <a:hlinkClick xmlns:r="http://schemas.openxmlformats.org/officeDocument/2006/relationships" r:id="rId1"/>
          <a:extLst>
            <a:ext uri="{FF2B5EF4-FFF2-40B4-BE49-F238E27FC236}">
              <a16:creationId xmlns:a16="http://schemas.microsoft.com/office/drawing/2014/main" id="{4DB25181-68A7-47A6-B5EF-A496EE0E1B14}"/>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12" name="AutoShape 1" descr="AttachedFile">
          <a:hlinkClick xmlns:r="http://schemas.openxmlformats.org/officeDocument/2006/relationships" r:id="rId1"/>
          <a:extLst>
            <a:ext uri="{FF2B5EF4-FFF2-40B4-BE49-F238E27FC236}">
              <a16:creationId xmlns:a16="http://schemas.microsoft.com/office/drawing/2014/main" id="{42DFF9D0-42FB-49BB-8B7F-084EE10DE7F4}"/>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13" name="AutoShape 1" descr="AttachedFile">
          <a:hlinkClick xmlns:r="http://schemas.openxmlformats.org/officeDocument/2006/relationships" r:id="rId1"/>
          <a:extLst>
            <a:ext uri="{FF2B5EF4-FFF2-40B4-BE49-F238E27FC236}">
              <a16:creationId xmlns:a16="http://schemas.microsoft.com/office/drawing/2014/main" id="{7D23C823-1444-4E96-A246-C5CEFE12737F}"/>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14" name="AutoShape 1" descr="AttachedFile">
          <a:hlinkClick xmlns:r="http://schemas.openxmlformats.org/officeDocument/2006/relationships" r:id="rId1"/>
          <a:extLst>
            <a:ext uri="{FF2B5EF4-FFF2-40B4-BE49-F238E27FC236}">
              <a16:creationId xmlns:a16="http://schemas.microsoft.com/office/drawing/2014/main" id="{8742C69A-45AD-476F-84EA-9AC7FA885635}"/>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18</xdr:row>
      <xdr:rowOff>0</xdr:rowOff>
    </xdr:from>
    <xdr:ext cx="320040" cy="121920"/>
    <xdr:sp macro="" textlink="">
      <xdr:nvSpPr>
        <xdr:cNvPr id="15" name="AutoShape 1" descr="AttachedFile">
          <a:hlinkClick xmlns:r="http://schemas.openxmlformats.org/officeDocument/2006/relationships" r:id="rId1"/>
          <a:extLst>
            <a:ext uri="{FF2B5EF4-FFF2-40B4-BE49-F238E27FC236}">
              <a16:creationId xmlns:a16="http://schemas.microsoft.com/office/drawing/2014/main" id="{B2AE311E-9AAD-4277-B6FB-9380D6A8E30B}"/>
            </a:ext>
          </a:extLst>
        </xdr:cNvPr>
        <xdr:cNvSpPr>
          <a:spLocks noChangeAspect="1" noChangeArrowheads="1"/>
        </xdr:cNvSpPr>
      </xdr:nvSpPr>
      <xdr:spPr bwMode="auto">
        <a:xfrm>
          <a:off x="1219200" y="148590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16" name="AutoShape 1" descr="AttachedFile">
          <a:hlinkClick xmlns:r="http://schemas.openxmlformats.org/officeDocument/2006/relationships" r:id="rId1"/>
          <a:extLst>
            <a:ext uri="{FF2B5EF4-FFF2-40B4-BE49-F238E27FC236}">
              <a16:creationId xmlns:a16="http://schemas.microsoft.com/office/drawing/2014/main" id="{EC763629-137F-44DA-B924-7762052B8EDD}"/>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17" name="AutoShape 1" descr="AttachedFile">
          <a:hlinkClick xmlns:r="http://schemas.openxmlformats.org/officeDocument/2006/relationships" r:id="rId1"/>
          <a:extLst>
            <a:ext uri="{FF2B5EF4-FFF2-40B4-BE49-F238E27FC236}">
              <a16:creationId xmlns:a16="http://schemas.microsoft.com/office/drawing/2014/main" id="{2881388A-FE97-4BF3-8820-93BFEB75EB73}"/>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0</xdr:colOff>
      <xdr:row>18</xdr:row>
      <xdr:rowOff>0</xdr:rowOff>
    </xdr:from>
    <xdr:to>
      <xdr:col>2</xdr:col>
      <xdr:colOff>323850</xdr:colOff>
      <xdr:row>18</xdr:row>
      <xdr:rowOff>123825</xdr:rowOff>
    </xdr:to>
    <xdr:sp macro="" textlink="">
      <xdr:nvSpPr>
        <xdr:cNvPr id="18" name="AutoShape 1" descr="AttachedFile">
          <a:hlinkClick xmlns:r="http://schemas.openxmlformats.org/officeDocument/2006/relationships" r:id="rId1"/>
          <a:extLst>
            <a:ext uri="{FF2B5EF4-FFF2-40B4-BE49-F238E27FC236}">
              <a16:creationId xmlns:a16="http://schemas.microsoft.com/office/drawing/2014/main" id="{D1C4A586-552E-4D69-927B-B906054DF5C4}"/>
            </a:ext>
          </a:extLst>
        </xdr:cNvPr>
        <xdr:cNvSpPr>
          <a:spLocks noChangeAspect="1" noChangeArrowheads="1"/>
        </xdr:cNvSpPr>
      </xdr:nvSpPr>
      <xdr:spPr bwMode="auto">
        <a:xfrm>
          <a:off x="1219200" y="1485900"/>
          <a:ext cx="3238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0</xdr:colOff>
      <xdr:row>21</xdr:row>
      <xdr:rowOff>0</xdr:rowOff>
    </xdr:from>
    <xdr:ext cx="320040" cy="121920"/>
    <xdr:sp macro="" textlink="">
      <xdr:nvSpPr>
        <xdr:cNvPr id="19" name="AutoShape 1" descr="AttachedFile">
          <a:hlinkClick xmlns:r="http://schemas.openxmlformats.org/officeDocument/2006/relationships" r:id="rId1"/>
          <a:extLst>
            <a:ext uri="{FF2B5EF4-FFF2-40B4-BE49-F238E27FC236}">
              <a16:creationId xmlns:a16="http://schemas.microsoft.com/office/drawing/2014/main" id="{EF2543FC-BE13-4032-9BEC-5BEE12F4FA4F}"/>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0" name="AutoShape 1" descr="AttachedFile">
          <a:hlinkClick xmlns:r="http://schemas.openxmlformats.org/officeDocument/2006/relationships" r:id="rId1"/>
          <a:extLst>
            <a:ext uri="{FF2B5EF4-FFF2-40B4-BE49-F238E27FC236}">
              <a16:creationId xmlns:a16="http://schemas.microsoft.com/office/drawing/2014/main" id="{4844D13E-5C75-4790-A2EB-CC71C4B042FC}"/>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1" name="AutoShape 1" descr="AttachedFile">
          <a:hlinkClick xmlns:r="http://schemas.openxmlformats.org/officeDocument/2006/relationships" r:id="rId1"/>
          <a:extLst>
            <a:ext uri="{FF2B5EF4-FFF2-40B4-BE49-F238E27FC236}">
              <a16:creationId xmlns:a16="http://schemas.microsoft.com/office/drawing/2014/main" id="{8A6091E8-F63B-4193-A573-19FCC8B4D097}"/>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2" name="AutoShape 1" descr="AttachedFile">
          <a:hlinkClick xmlns:r="http://schemas.openxmlformats.org/officeDocument/2006/relationships" r:id="rId1"/>
          <a:extLst>
            <a:ext uri="{FF2B5EF4-FFF2-40B4-BE49-F238E27FC236}">
              <a16:creationId xmlns:a16="http://schemas.microsoft.com/office/drawing/2014/main" id="{54F50064-E1D5-4166-A752-13896C17A947}"/>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3" name="AutoShape 1" descr="AttachedFile">
          <a:hlinkClick xmlns:r="http://schemas.openxmlformats.org/officeDocument/2006/relationships" r:id="rId1"/>
          <a:extLst>
            <a:ext uri="{FF2B5EF4-FFF2-40B4-BE49-F238E27FC236}">
              <a16:creationId xmlns:a16="http://schemas.microsoft.com/office/drawing/2014/main" id="{BB798E34-4286-4711-AAEE-FF79ADDA441A}"/>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4" name="AutoShape 1" descr="AttachedFile">
          <a:hlinkClick xmlns:r="http://schemas.openxmlformats.org/officeDocument/2006/relationships" r:id="rId1"/>
          <a:extLst>
            <a:ext uri="{FF2B5EF4-FFF2-40B4-BE49-F238E27FC236}">
              <a16:creationId xmlns:a16="http://schemas.microsoft.com/office/drawing/2014/main" id="{6843A28E-5FAD-4F18-88BE-3F41186E1A2B}"/>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5" name="AutoShape 1" descr="AttachedFile">
          <a:hlinkClick xmlns:r="http://schemas.openxmlformats.org/officeDocument/2006/relationships" r:id="rId1"/>
          <a:extLst>
            <a:ext uri="{FF2B5EF4-FFF2-40B4-BE49-F238E27FC236}">
              <a16:creationId xmlns:a16="http://schemas.microsoft.com/office/drawing/2014/main" id="{FA5F57D6-9E50-45DF-9135-3A6CC32C7D14}"/>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6" name="AutoShape 1" descr="AttachedFile">
          <a:hlinkClick xmlns:r="http://schemas.openxmlformats.org/officeDocument/2006/relationships" r:id="rId1"/>
          <a:extLst>
            <a:ext uri="{FF2B5EF4-FFF2-40B4-BE49-F238E27FC236}">
              <a16:creationId xmlns:a16="http://schemas.microsoft.com/office/drawing/2014/main" id="{B7A141CC-15C9-4072-8E8A-B8902F5831A3}"/>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7" name="AutoShape 1" descr="AttachedFile">
          <a:hlinkClick xmlns:r="http://schemas.openxmlformats.org/officeDocument/2006/relationships" r:id="rId1"/>
          <a:extLst>
            <a:ext uri="{FF2B5EF4-FFF2-40B4-BE49-F238E27FC236}">
              <a16:creationId xmlns:a16="http://schemas.microsoft.com/office/drawing/2014/main" id="{C9E0EAA9-AED3-4F89-ACE0-EB88E779EA92}"/>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8" name="AutoShape 1" descr="AttachedFile">
          <a:hlinkClick xmlns:r="http://schemas.openxmlformats.org/officeDocument/2006/relationships" r:id="rId1"/>
          <a:extLst>
            <a:ext uri="{FF2B5EF4-FFF2-40B4-BE49-F238E27FC236}">
              <a16:creationId xmlns:a16="http://schemas.microsoft.com/office/drawing/2014/main" id="{5B181691-55D4-4041-953C-D923E95952C8}"/>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29" name="AutoShape 1" descr="AttachedFile">
          <a:hlinkClick xmlns:r="http://schemas.openxmlformats.org/officeDocument/2006/relationships" r:id="rId1"/>
          <a:extLst>
            <a:ext uri="{FF2B5EF4-FFF2-40B4-BE49-F238E27FC236}">
              <a16:creationId xmlns:a16="http://schemas.microsoft.com/office/drawing/2014/main" id="{7D372977-D7B5-46E7-85A3-60AEF1FDEE2F}"/>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30" name="AutoShape 1" descr="AttachedFile">
          <a:hlinkClick xmlns:r="http://schemas.openxmlformats.org/officeDocument/2006/relationships" r:id="rId1"/>
          <a:extLst>
            <a:ext uri="{FF2B5EF4-FFF2-40B4-BE49-F238E27FC236}">
              <a16:creationId xmlns:a16="http://schemas.microsoft.com/office/drawing/2014/main" id="{C3FFD737-92D6-45B7-BB6D-9ED6ABA751D7}"/>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31" name="AutoShape 1" descr="AttachedFile">
          <a:hlinkClick xmlns:r="http://schemas.openxmlformats.org/officeDocument/2006/relationships" r:id="rId1"/>
          <a:extLst>
            <a:ext uri="{FF2B5EF4-FFF2-40B4-BE49-F238E27FC236}">
              <a16:creationId xmlns:a16="http://schemas.microsoft.com/office/drawing/2014/main" id="{0415C56B-2581-4380-A780-D2A10D2A2B74}"/>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32" name="AutoShape 1" descr="AttachedFile">
          <a:hlinkClick xmlns:r="http://schemas.openxmlformats.org/officeDocument/2006/relationships" r:id="rId1"/>
          <a:extLst>
            <a:ext uri="{FF2B5EF4-FFF2-40B4-BE49-F238E27FC236}">
              <a16:creationId xmlns:a16="http://schemas.microsoft.com/office/drawing/2014/main" id="{1F1F88F0-17C3-436F-9D45-818F07340A65}"/>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21</xdr:row>
      <xdr:rowOff>0</xdr:rowOff>
    </xdr:from>
    <xdr:ext cx="320040" cy="121920"/>
    <xdr:sp macro="" textlink="">
      <xdr:nvSpPr>
        <xdr:cNvPr id="33" name="AutoShape 1" descr="AttachedFile">
          <a:hlinkClick xmlns:r="http://schemas.openxmlformats.org/officeDocument/2006/relationships" r:id="rId1"/>
          <a:extLst>
            <a:ext uri="{FF2B5EF4-FFF2-40B4-BE49-F238E27FC236}">
              <a16:creationId xmlns:a16="http://schemas.microsoft.com/office/drawing/2014/main" id="{BA3A7551-3F86-40FC-A705-7FB78C516EC8}"/>
            </a:ext>
          </a:extLst>
        </xdr:cNvPr>
        <xdr:cNvSpPr>
          <a:spLocks noChangeAspect="1" noChangeArrowheads="1"/>
        </xdr:cNvSpPr>
      </xdr:nvSpPr>
      <xdr:spPr bwMode="auto">
        <a:xfrm>
          <a:off x="1219200" y="485394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18</xdr:row>
      <xdr:rowOff>0</xdr:rowOff>
    </xdr:from>
    <xdr:ext cx="320040" cy="121920"/>
    <xdr:sp macro="" textlink="">
      <xdr:nvSpPr>
        <xdr:cNvPr id="34" name="AutoShape 1" descr="AttachedFile">
          <a:hlinkClick xmlns:r="http://schemas.openxmlformats.org/officeDocument/2006/relationships" r:id="rId1"/>
          <a:extLst>
            <a:ext uri="{FF2B5EF4-FFF2-40B4-BE49-F238E27FC236}">
              <a16:creationId xmlns:a16="http://schemas.microsoft.com/office/drawing/2014/main" id="{728F8852-283F-4ECA-94EE-B669C4DC65F4}"/>
            </a:ext>
          </a:extLst>
        </xdr:cNvPr>
        <xdr:cNvSpPr>
          <a:spLocks noChangeAspect="1" noChangeArrowheads="1"/>
        </xdr:cNvSpPr>
      </xdr:nvSpPr>
      <xdr:spPr bwMode="auto">
        <a:xfrm>
          <a:off x="1219200" y="1485900"/>
          <a:ext cx="32004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26</xdr:col>
      <xdr:colOff>220264</xdr:colOff>
      <xdr:row>19</xdr:row>
      <xdr:rowOff>450056</xdr:rowOff>
    </xdr:from>
    <xdr:to>
      <xdr:col>31</xdr:col>
      <xdr:colOff>2250280</xdr:colOff>
      <xdr:row>31</xdr:row>
      <xdr:rowOff>154781</xdr:rowOff>
    </xdr:to>
    <xdr:graphicFrame macro="">
      <xdr:nvGraphicFramePr>
        <xdr:cNvPr id="35" name="Chart 34">
          <a:extLst>
            <a:ext uri="{FF2B5EF4-FFF2-40B4-BE49-F238E27FC236}">
              <a16:creationId xmlns:a16="http://schemas.microsoft.com/office/drawing/2014/main" id="{2CFC915D-8E0E-D5C4-C2DB-E0E76DDBD3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184545</xdr:colOff>
      <xdr:row>19</xdr:row>
      <xdr:rowOff>426242</xdr:rowOff>
    </xdr:from>
    <xdr:to>
      <xdr:col>37</xdr:col>
      <xdr:colOff>428624</xdr:colOff>
      <xdr:row>31</xdr:row>
      <xdr:rowOff>166686</xdr:rowOff>
    </xdr:to>
    <xdr:graphicFrame macro="">
      <xdr:nvGraphicFramePr>
        <xdr:cNvPr id="38" name="Chart 37">
          <a:extLst>
            <a:ext uri="{FF2B5EF4-FFF2-40B4-BE49-F238E27FC236}">
              <a16:creationId xmlns:a16="http://schemas.microsoft.com/office/drawing/2014/main" id="{C0F43744-0AF3-34A7-28EE-74CC02BB9C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19</xdr:col>
      <xdr:colOff>544285</xdr:colOff>
      <xdr:row>20</xdr:row>
      <xdr:rowOff>38101</xdr:rowOff>
    </xdr:from>
    <xdr:to>
      <xdr:col>23</xdr:col>
      <xdr:colOff>631371</xdr:colOff>
      <xdr:row>35</xdr:row>
      <xdr:rowOff>168729</xdr:rowOff>
    </xdr:to>
    <xdr:graphicFrame macro="">
      <xdr:nvGraphicFramePr>
        <xdr:cNvPr id="2" name="Chart 1">
          <a:extLst>
            <a:ext uri="{FF2B5EF4-FFF2-40B4-BE49-F238E27FC236}">
              <a16:creationId xmlns:a16="http://schemas.microsoft.com/office/drawing/2014/main" id="{C3E09CC4-7C7F-CF70-8D7E-01270E084F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CE2A-13C3-4462-B39A-DA62F63AB4B9}">
  <dimension ref="B2:AL29"/>
  <sheetViews>
    <sheetView showGridLines="0" tabSelected="1" topLeftCell="U1" zoomScale="81" workbookViewId="0">
      <selection activeCell="L9" sqref="L9"/>
    </sheetView>
  </sheetViews>
  <sheetFormatPr defaultColWidth="8.77734375" defaultRowHeight="14.4" x14ac:dyDescent="0.3"/>
  <cols>
    <col min="1" max="1" width="8.77734375" style="1"/>
    <col min="2" max="2" width="31" style="1" customWidth="1"/>
    <col min="3" max="3" width="19.109375" style="1" customWidth="1"/>
    <col min="4" max="4" width="8" style="1" customWidth="1"/>
    <col min="5" max="5" width="12.44140625" style="1" bestFit="1" customWidth="1"/>
    <col min="6" max="6" width="8" style="1" customWidth="1"/>
    <col min="7" max="7" width="12.44140625" style="1" bestFit="1" customWidth="1"/>
    <col min="8" max="8" width="10.21875" style="1" bestFit="1" customWidth="1"/>
    <col min="9" max="9" width="24.77734375" style="1" bestFit="1" customWidth="1"/>
    <col min="10" max="10" width="30" style="1" bestFit="1" customWidth="1"/>
    <col min="11" max="11" width="8.77734375" style="1"/>
    <col min="12" max="12" width="35" style="1" bestFit="1" customWidth="1"/>
    <col min="13" max="13" width="12.6640625" style="1" bestFit="1" customWidth="1"/>
    <col min="14" max="14" width="5.44140625" style="1" bestFit="1" customWidth="1"/>
    <col min="15" max="15" width="12.6640625" style="1" customWidth="1"/>
    <col min="16" max="16" width="5.77734375" style="1" bestFit="1" customWidth="1"/>
    <col min="17" max="17" width="11.77734375" style="1" bestFit="1" customWidth="1"/>
    <col min="18" max="18" width="5.109375" style="1" bestFit="1" customWidth="1"/>
    <col min="19" max="19" width="22.77734375" style="1" customWidth="1"/>
    <col min="20" max="20" width="21.33203125" style="1" customWidth="1"/>
    <col min="21" max="21" width="20.77734375" style="1" customWidth="1"/>
    <col min="22" max="22" width="27.77734375" style="1" customWidth="1"/>
    <col min="23" max="23" width="26.77734375" style="1" customWidth="1"/>
    <col min="24" max="24" width="17.33203125" style="1" customWidth="1"/>
    <col min="25" max="25" width="15" style="1" customWidth="1"/>
    <col min="26" max="26" width="16.44140625" style="1" customWidth="1"/>
    <col min="27" max="27" width="13.77734375" style="1" customWidth="1"/>
    <col min="28" max="28" width="13.6640625" style="1" customWidth="1"/>
    <col min="29" max="29" width="13.109375" style="1" customWidth="1"/>
    <col min="30" max="30" width="17.44140625" style="1" customWidth="1"/>
    <col min="31" max="31" width="16" style="1" customWidth="1"/>
    <col min="32" max="32" width="10.33203125" style="1" bestFit="1" customWidth="1"/>
    <col min="33" max="33" width="11.109375" style="1" customWidth="1"/>
    <col min="34" max="34" width="13.44140625" style="1" customWidth="1"/>
    <col min="35" max="35" width="11.77734375" style="1" customWidth="1"/>
    <col min="36" max="36" width="13.77734375" style="1" customWidth="1"/>
    <col min="37" max="37" width="22.77734375" style="1" customWidth="1"/>
    <col min="38" max="38" width="28.109375" style="1" customWidth="1"/>
    <col min="39" max="16384" width="8.77734375" style="1"/>
  </cols>
  <sheetData>
    <row r="2" spans="2:38" x14ac:dyDescent="0.3">
      <c r="V2" s="328" t="s">
        <v>933</v>
      </c>
    </row>
    <row r="3" spans="2:38" ht="14.55" customHeight="1" x14ac:dyDescent="0.3"/>
    <row r="4" spans="2:38" ht="62.4" x14ac:dyDescent="0.3">
      <c r="B4" s="295" t="s">
        <v>826</v>
      </c>
      <c r="C4" s="295" t="s">
        <v>827</v>
      </c>
      <c r="D4" s="295" t="s">
        <v>763</v>
      </c>
      <c r="E4" s="381" t="s">
        <v>457</v>
      </c>
      <c r="F4" s="381" t="s">
        <v>763</v>
      </c>
      <c r="G4" s="381" t="s">
        <v>456</v>
      </c>
      <c r="H4" s="381" t="s">
        <v>763</v>
      </c>
      <c r="I4" s="295" t="s">
        <v>903</v>
      </c>
      <c r="J4" s="295" t="s">
        <v>895</v>
      </c>
      <c r="L4" s="295" t="s">
        <v>825</v>
      </c>
      <c r="M4" s="295" t="s">
        <v>919</v>
      </c>
      <c r="N4" s="295" t="s">
        <v>763</v>
      </c>
      <c r="O4" s="381" t="s">
        <v>457</v>
      </c>
      <c r="P4" s="381" t="s">
        <v>763</v>
      </c>
      <c r="Q4" s="381" t="s">
        <v>456</v>
      </c>
      <c r="R4" s="381" t="s">
        <v>763</v>
      </c>
      <c r="V4" s="331" t="s">
        <v>928</v>
      </c>
      <c r="W4" s="332" t="s">
        <v>791</v>
      </c>
      <c r="X4" s="333" t="s">
        <v>771</v>
      </c>
      <c r="Y4" s="333" t="s">
        <v>762</v>
      </c>
      <c r="Z4" s="333" t="s">
        <v>764</v>
      </c>
      <c r="AA4" s="334" t="s">
        <v>792</v>
      </c>
      <c r="AB4" s="332" t="s">
        <v>766</v>
      </c>
      <c r="AC4" s="333" t="s">
        <v>767</v>
      </c>
      <c r="AD4" s="334" t="s">
        <v>774</v>
      </c>
      <c r="AE4" s="333" t="s">
        <v>781</v>
      </c>
      <c r="AF4" s="333" t="s">
        <v>449</v>
      </c>
      <c r="AG4" s="334" t="s">
        <v>450</v>
      </c>
      <c r="AH4" s="333" t="s">
        <v>925</v>
      </c>
      <c r="AI4" s="334" t="s">
        <v>924</v>
      </c>
      <c r="AJ4" s="331" t="s">
        <v>782</v>
      </c>
      <c r="AK4" s="334" t="s">
        <v>784</v>
      </c>
      <c r="AL4" s="334" t="s">
        <v>955</v>
      </c>
    </row>
    <row r="5" spans="2:38" ht="54" customHeight="1" x14ac:dyDescent="0.3">
      <c r="B5" s="296" t="s">
        <v>872</v>
      </c>
      <c r="C5" s="297">
        <f>+Hospitals!Q40</f>
        <v>343893.12389628985</v>
      </c>
      <c r="D5" s="298">
        <f>+C5/$C$12</f>
        <v>0.13755722034446069</v>
      </c>
      <c r="E5" s="391">
        <f>+SUMIFS(Hospitals!Q:Q,Hospitals!P:P,Hospitals!P4)</f>
        <v>165940.63920979004</v>
      </c>
      <c r="F5" s="395">
        <f>+E5/(G5+E5)</f>
        <v>0.48253549628934644</v>
      </c>
      <c r="G5" s="391">
        <f>+SUMIFS(Hospitals!Q:Q,Hospitals!P:P,Hospitals!P5)</f>
        <v>177952.48468650001</v>
      </c>
      <c r="H5" s="395">
        <f>+G5/(G5+E5)</f>
        <v>0.51746450371065345</v>
      </c>
      <c r="I5" s="416" t="s">
        <v>896</v>
      </c>
      <c r="J5" s="414" t="s">
        <v>897</v>
      </c>
      <c r="L5" s="379" t="s">
        <v>896</v>
      </c>
      <c r="M5" s="376">
        <f>+SUM(C5:C6)</f>
        <v>541374.12389628985</v>
      </c>
      <c r="N5" s="373">
        <f>+M5/$M$10</f>
        <v>0.21654960356825773</v>
      </c>
      <c r="O5" s="365">
        <f>+SUMIFS(Hospitals!Q:Q,Hospitals!P:P,Hospitals!P4)+197481/2</f>
        <v>264681.13920979004</v>
      </c>
      <c r="P5" s="366">
        <f>+O5/(Q5+O5)</f>
        <v>0.48890615108248958</v>
      </c>
      <c r="Q5" s="365">
        <f>+SUMIFS(Hospitals!Q:Q,Hospitals!P:P,Hospitals!P5)+197481/2</f>
        <v>276692.98468650004</v>
      </c>
      <c r="R5" s="366">
        <f>+Q5/(Q5+O5)</f>
        <v>0.51109384891751042</v>
      </c>
      <c r="S5" s="412" t="s">
        <v>945</v>
      </c>
      <c r="T5" s="413"/>
      <c r="U5" s="388"/>
      <c r="V5" s="329" t="s">
        <v>926</v>
      </c>
      <c r="W5" s="324">
        <f>+Schools!AP18</f>
        <v>2404</v>
      </c>
      <c r="X5" s="320">
        <f>+Schools!AQ18</f>
        <v>784</v>
      </c>
      <c r="Y5" s="320">
        <f>+Schools!AR18</f>
        <v>626</v>
      </c>
      <c r="Z5" s="320">
        <f>+Schools!AS18</f>
        <v>158</v>
      </c>
      <c r="AA5" s="321">
        <f>+Schools!AT18</f>
        <v>3188</v>
      </c>
      <c r="AB5" s="324">
        <f>+Schools!AU18</f>
        <v>18051</v>
      </c>
      <c r="AC5" s="320">
        <f>+Schools!AV18</f>
        <v>11929</v>
      </c>
      <c r="AD5" s="321">
        <f>+Schools!AW18</f>
        <v>29980</v>
      </c>
      <c r="AE5" s="320">
        <f>+Schools!AX18</f>
        <v>36407</v>
      </c>
      <c r="AF5" s="320">
        <f>+Schools!X37</f>
        <v>18923</v>
      </c>
      <c r="AG5" s="321">
        <f>+Schools!Y37</f>
        <v>17484</v>
      </c>
      <c r="AH5" s="320">
        <f>+Schools!BA18</f>
        <v>82604.149999999994</v>
      </c>
      <c r="AI5" s="321">
        <f>+Schools!BB18</f>
        <v>148419.44999999998</v>
      </c>
      <c r="AJ5" s="401">
        <f>+Schools!BC18</f>
        <v>5476</v>
      </c>
      <c r="AK5" s="321">
        <f>+Schools!BE18</f>
        <v>160193</v>
      </c>
      <c r="AL5" s="321">
        <f>+Schools!BD18</f>
        <v>2040</v>
      </c>
    </row>
    <row r="6" spans="2:38" x14ac:dyDescent="0.3">
      <c r="B6" s="296" t="s">
        <v>873</v>
      </c>
      <c r="C6" s="297">
        <v>197481</v>
      </c>
      <c r="D6" s="298">
        <f t="shared" ref="D6:D11" si="0">+C6/$C$12</f>
        <v>7.8992383223797036E-2</v>
      </c>
      <c r="E6" s="391">
        <f>+C6/2</f>
        <v>98740.5</v>
      </c>
      <c r="F6" s="395">
        <f t="shared" ref="F6:F11" si="1">+E6/(G6+E6)</f>
        <v>0.5</v>
      </c>
      <c r="G6" s="391">
        <f>+C6/2</f>
        <v>98740.5</v>
      </c>
      <c r="H6" s="395">
        <f t="shared" ref="H6:H11" si="2">+G6/(G6+E6)</f>
        <v>0.5</v>
      </c>
      <c r="I6" s="414"/>
      <c r="J6" s="414"/>
      <c r="L6" s="380" t="s">
        <v>898</v>
      </c>
      <c r="M6" s="377">
        <f>+SUM(C7:C8)</f>
        <v>438874.55561865307</v>
      </c>
      <c r="N6" s="374">
        <f>+M6/$M$10</f>
        <v>0.17554978496464099</v>
      </c>
      <c r="O6" s="367">
        <f>+SUMIFS(Kindergartens!O:O,Kindergartens!N:N,Kindergartens!N4)+SUMIFS(Schools!O:O,Schools!N:N,Schools!N10)</f>
        <v>165335.92372841999</v>
      </c>
      <c r="P6" s="368">
        <f>+O6/(Q6+O6)</f>
        <v>0.37672706610971474</v>
      </c>
      <c r="Q6" s="367">
        <f>+SUMIFS(Kindergartens!O:O,Kindergartens!N:N,Kindergartens!N8)+SUMIFS(Schools!O:O,Schools!N:N,Schools!N8)</f>
        <v>273538.63189023308</v>
      </c>
      <c r="R6" s="368">
        <f>+Q6/(Q6+O6)</f>
        <v>0.62327293389028526</v>
      </c>
      <c r="S6" s="386"/>
      <c r="T6" s="387"/>
      <c r="U6" s="388"/>
      <c r="V6" s="330" t="s">
        <v>927</v>
      </c>
      <c r="W6" s="325">
        <f>+Kindergartens!AO18</f>
        <v>880.34</v>
      </c>
      <c r="X6" s="322">
        <f>+Kindergartens!AP18</f>
        <v>812</v>
      </c>
      <c r="Y6" s="322">
        <f>+Kindergartens!AQ18</f>
        <v>484</v>
      </c>
      <c r="Z6" s="322">
        <f>+Kindergartens!AR18</f>
        <v>328</v>
      </c>
      <c r="AA6" s="323">
        <f>+Kindergartens!AS18</f>
        <v>1692.34</v>
      </c>
      <c r="AB6" s="325">
        <f>+Kindergartens!AT18</f>
        <v>4204</v>
      </c>
      <c r="AC6" s="322">
        <f>+Kindergartens!AU18</f>
        <v>4240</v>
      </c>
      <c r="AD6" s="323">
        <f>+Kindergartens!AV18</f>
        <v>8444</v>
      </c>
      <c r="AE6" s="322">
        <f>+Kindergartens!AW18</f>
        <v>7625.29</v>
      </c>
      <c r="AF6" s="322">
        <f>+Kindergartens!X39</f>
        <v>4154.2</v>
      </c>
      <c r="AG6" s="323">
        <f>+Kindergartens!Y39</f>
        <v>3471.09</v>
      </c>
      <c r="AH6" s="322">
        <f>+Kindergartens!AZ18</f>
        <v>32801.43</v>
      </c>
      <c r="AI6" s="323">
        <f>+Kindergartens!BA18</f>
        <v>75279.789999999994</v>
      </c>
      <c r="AJ6" s="402">
        <f>+Kindergartens!BB18</f>
        <v>4035</v>
      </c>
      <c r="AK6" s="323">
        <f>+Kindergartens!BC18</f>
        <v>133634</v>
      </c>
      <c r="AL6" s="411">
        <f>+Kindergartens!AA39</f>
        <v>4035</v>
      </c>
    </row>
    <row r="7" spans="2:38" ht="23.4" x14ac:dyDescent="0.3">
      <c r="B7" s="278" t="s">
        <v>870</v>
      </c>
      <c r="C7" s="279">
        <f>+Schools!O37</f>
        <v>247805.30566231004</v>
      </c>
      <c r="D7" s="280">
        <f t="shared" si="0"/>
        <v>9.9122101213622346E-2</v>
      </c>
      <c r="E7" s="392">
        <f>+SUMIFS(Schools!O:O,Schools!N:N,Schools!N10)</f>
        <v>87183.840520549988</v>
      </c>
      <c r="F7" s="396">
        <f t="shared" si="1"/>
        <v>0.35182394617231239</v>
      </c>
      <c r="G7" s="392">
        <f>+SUMIFS(Schools!O:O,Schools!N:N,Schools!N8)</f>
        <v>160621.46514176004</v>
      </c>
      <c r="H7" s="396">
        <f t="shared" si="2"/>
        <v>0.6481760538276875</v>
      </c>
      <c r="I7" s="417" t="s">
        <v>898</v>
      </c>
      <c r="J7" s="415" t="s">
        <v>899</v>
      </c>
      <c r="L7" s="301" t="s">
        <v>900</v>
      </c>
      <c r="M7" s="308">
        <f>+C9</f>
        <v>130562.8896994</v>
      </c>
      <c r="N7" s="363">
        <f>+M7/$M$10</f>
        <v>5.2225144788315567E-2</v>
      </c>
      <c r="O7" s="369">
        <f>SUMIFS('Drinking water'!O:O,'Drinking water'!N:N,'Drinking water'!N4)</f>
        <v>48370.676470000006</v>
      </c>
      <c r="P7" s="382">
        <f t="shared" ref="P7:P9" si="3">+O7/(Q7+O7)</f>
        <v>0.4271598358310601</v>
      </c>
      <c r="Q7" s="369">
        <f>SUMIFS('Drinking water'!O:O,'Drinking water'!N:N,'Drinking water'!N6)</f>
        <v>64867.208772399994</v>
      </c>
      <c r="R7" s="382">
        <f t="shared" ref="R7:R9" si="4">+Q7/(Q7+O7)</f>
        <v>0.5728401641689399</v>
      </c>
      <c r="V7" s="335" t="s">
        <v>932</v>
      </c>
      <c r="W7" s="336">
        <f>+SUM(W5:W6)</f>
        <v>3284.34</v>
      </c>
      <c r="X7" s="336">
        <f t="shared" ref="X7:AJ7" si="5">+SUM(X5:X6)</f>
        <v>1596</v>
      </c>
      <c r="Y7" s="336">
        <f t="shared" si="5"/>
        <v>1110</v>
      </c>
      <c r="Z7" s="336">
        <f t="shared" si="5"/>
        <v>486</v>
      </c>
      <c r="AA7" s="337">
        <f t="shared" si="5"/>
        <v>4880.34</v>
      </c>
      <c r="AB7" s="336">
        <f t="shared" si="5"/>
        <v>22255</v>
      </c>
      <c r="AC7" s="336">
        <f t="shared" si="5"/>
        <v>16169</v>
      </c>
      <c r="AD7" s="337">
        <f t="shared" si="5"/>
        <v>38424</v>
      </c>
      <c r="AE7" s="336">
        <f t="shared" si="5"/>
        <v>44032.29</v>
      </c>
      <c r="AF7" s="336">
        <f t="shared" si="5"/>
        <v>23077.200000000001</v>
      </c>
      <c r="AG7" s="337">
        <f t="shared" si="5"/>
        <v>20955.09</v>
      </c>
      <c r="AH7" s="336">
        <f t="shared" si="5"/>
        <v>115405.57999999999</v>
      </c>
      <c r="AI7" s="337">
        <f t="shared" si="5"/>
        <v>223699.24</v>
      </c>
      <c r="AJ7" s="338">
        <f t="shared" si="5"/>
        <v>9511</v>
      </c>
      <c r="AK7" s="337">
        <f>+SUM(AK5:AK6)</f>
        <v>293827</v>
      </c>
      <c r="AL7" s="337">
        <f>+SUM(AL5:AL6)</f>
        <v>6075</v>
      </c>
    </row>
    <row r="8" spans="2:38" ht="36" x14ac:dyDescent="0.3">
      <c r="B8" s="278" t="s">
        <v>871</v>
      </c>
      <c r="C8" s="279">
        <f>+Kindergartens!O39</f>
        <v>191069.24995634306</v>
      </c>
      <c r="D8" s="280">
        <f t="shared" si="0"/>
        <v>7.642768375101866E-2</v>
      </c>
      <c r="E8" s="392">
        <f>+SUMIFS(Kindergartens!O:O,Kindergartens!N:N,Kindergartens!N4)</f>
        <v>78152.08320786999</v>
      </c>
      <c r="F8" s="396">
        <f t="shared" si="1"/>
        <v>0.40902491230654214</v>
      </c>
      <c r="G8" s="392">
        <f>+SUMIFS(Kindergartens!O:O,Kindergartens!N:N,Kindergartens!N8)</f>
        <v>112917.16674847306</v>
      </c>
      <c r="H8" s="396">
        <f t="shared" si="2"/>
        <v>0.59097508769345797</v>
      </c>
      <c r="I8" s="415"/>
      <c r="J8" s="415"/>
      <c r="L8" s="307" t="s">
        <v>915</v>
      </c>
      <c r="M8" s="309">
        <f>+C10</f>
        <v>39406.650000999995</v>
      </c>
      <c r="N8" s="364">
        <f>+M8/$M$10</f>
        <v>1.5762656652766764E-2</v>
      </c>
      <c r="O8" s="370">
        <f>+SUMIFS(Irrigation!O:O,Irrigation!N:N,Irrigation!N13)</f>
        <v>10424.858</v>
      </c>
      <c r="P8" s="383">
        <f t="shared" si="3"/>
        <v>0.26454565408974001</v>
      </c>
      <c r="Q8" s="370">
        <f>+SUMIFS(Irrigation!O:O,Irrigation!N:N,Irrigation!N12)</f>
        <v>28981.792000999998</v>
      </c>
      <c r="R8" s="383">
        <f t="shared" si="4"/>
        <v>0.73545434591025982</v>
      </c>
      <c r="V8" s="347" t="s">
        <v>930</v>
      </c>
      <c r="W8" s="340" t="s">
        <v>791</v>
      </c>
      <c r="X8" s="341" t="s">
        <v>929</v>
      </c>
      <c r="Y8" s="341" t="s">
        <v>804</v>
      </c>
      <c r="Z8" s="341" t="s">
        <v>803</v>
      </c>
      <c r="AA8" s="339" t="s">
        <v>792</v>
      </c>
      <c r="AB8" s="341" t="s">
        <v>799</v>
      </c>
      <c r="AC8" s="341" t="s">
        <v>800</v>
      </c>
      <c r="AD8" s="341" t="s">
        <v>801</v>
      </c>
      <c r="AE8" s="341" t="s">
        <v>802</v>
      </c>
      <c r="AF8" s="341" t="s">
        <v>797</v>
      </c>
      <c r="AG8" s="339" t="s">
        <v>798</v>
      </c>
      <c r="AH8" s="341" t="s">
        <v>925</v>
      </c>
      <c r="AI8" s="339" t="s">
        <v>924</v>
      </c>
      <c r="AJ8" s="341" t="s">
        <v>806</v>
      </c>
      <c r="AK8" s="339" t="s">
        <v>793</v>
      </c>
    </row>
    <row r="9" spans="2:38" ht="34.799999999999997" x14ac:dyDescent="0.3">
      <c r="B9" s="248" t="s">
        <v>874</v>
      </c>
      <c r="C9" s="249">
        <f>+'Drinking water'!O28</f>
        <v>130562.8896994</v>
      </c>
      <c r="D9" s="250">
        <f t="shared" si="0"/>
        <v>5.2225144788315567E-2</v>
      </c>
      <c r="E9" s="369">
        <f>SUMIFS('Drinking water'!O:O,'Drinking water'!N:N,'Drinking water'!N4)</f>
        <v>48370.676470000006</v>
      </c>
      <c r="F9" s="382">
        <f t="shared" si="1"/>
        <v>0.4271598358310601</v>
      </c>
      <c r="G9" s="369">
        <f>SUMIFS('Drinking water'!O:O,'Drinking water'!N:N,'Drinking water'!N6)</f>
        <v>64867.208772399994</v>
      </c>
      <c r="H9" s="382">
        <f t="shared" si="2"/>
        <v>0.5728401641689399</v>
      </c>
      <c r="I9" s="300" t="s">
        <v>900</v>
      </c>
      <c r="J9" s="302" t="s">
        <v>917</v>
      </c>
      <c r="L9" s="375" t="s">
        <v>902</v>
      </c>
      <c r="M9" s="378">
        <f>+C11</f>
        <v>1349782.3117283471</v>
      </c>
      <c r="N9" s="372">
        <f>+M9/$M$10</f>
        <v>0.53991281002601899</v>
      </c>
      <c r="O9" s="371">
        <f>+M9</f>
        <v>1349782.3117283471</v>
      </c>
      <c r="P9" s="384">
        <f t="shared" si="3"/>
        <v>1</v>
      </c>
      <c r="Q9" s="371">
        <v>0</v>
      </c>
      <c r="R9" s="384">
        <f t="shared" si="4"/>
        <v>0</v>
      </c>
      <c r="V9" s="348" t="s">
        <v>931</v>
      </c>
      <c r="W9" s="342">
        <f>+Hospitals!AQ18</f>
        <v>3046.5</v>
      </c>
      <c r="X9" s="343">
        <f>+Hospitals!AR18</f>
        <v>1965.25</v>
      </c>
      <c r="Y9" s="343">
        <f>+Hospitals!AS18</f>
        <v>1665</v>
      </c>
      <c r="Z9" s="343">
        <f>+Hospitals!AT18</f>
        <v>300.25</v>
      </c>
      <c r="AA9" s="344">
        <f>+Hospitals!AU18</f>
        <v>5011.75</v>
      </c>
      <c r="AB9" s="343">
        <f>+Hospitals!AV18</f>
        <v>3028</v>
      </c>
      <c r="AC9" s="343">
        <f>+Hospitals!AW18</f>
        <v>260</v>
      </c>
      <c r="AD9" s="343">
        <f>+Hospitals!AX18</f>
        <v>1207</v>
      </c>
      <c r="AE9" s="345">
        <f>+Hospitals!AY18</f>
        <v>900</v>
      </c>
      <c r="AF9" s="345">
        <f>+Hospitals!AZ18</f>
        <v>4235</v>
      </c>
      <c r="AG9" s="346">
        <f>+Hospitals!BA18</f>
        <v>1160</v>
      </c>
      <c r="AH9" s="345">
        <f>+Hospitals!BB18</f>
        <v>144683.82999999999</v>
      </c>
      <c r="AI9" s="346">
        <f>+Hospitals!BC18</f>
        <v>175444.96999999997</v>
      </c>
      <c r="AJ9" s="345">
        <f>+Hospitals!BD18</f>
        <v>1534206</v>
      </c>
      <c r="AK9" s="346">
        <f>+Hospitals!BE18</f>
        <v>14972453</v>
      </c>
    </row>
    <row r="10" spans="2:38" ht="60" x14ac:dyDescent="0.3">
      <c r="B10" s="303" t="s">
        <v>875</v>
      </c>
      <c r="C10" s="304">
        <f>+Irrigation!O17</f>
        <v>39406.650000999995</v>
      </c>
      <c r="D10" s="305">
        <f t="shared" si="0"/>
        <v>1.5762656652766764E-2</v>
      </c>
      <c r="E10" s="370">
        <f>+SUMIFS(Irrigation!O:O,Irrigation!N:N,Irrigation!N13)</f>
        <v>10424.858</v>
      </c>
      <c r="F10" s="383">
        <f t="shared" si="1"/>
        <v>0.26454565408974001</v>
      </c>
      <c r="G10" s="370">
        <f>+SUMIFS(Irrigation!O:O,Irrigation!N:N,Irrigation!N12)</f>
        <v>28981.792000999998</v>
      </c>
      <c r="H10" s="383">
        <f t="shared" si="2"/>
        <v>0.73545434591025982</v>
      </c>
      <c r="I10" s="306" t="s">
        <v>915</v>
      </c>
      <c r="J10" s="307" t="s">
        <v>916</v>
      </c>
      <c r="M10" s="310">
        <f>SUM(M5:M9)</f>
        <v>2500000.5309436899</v>
      </c>
      <c r="N10" s="311">
        <f>SUM(N5:N9)</f>
        <v>1</v>
      </c>
      <c r="O10" s="389">
        <f>+SUM(O5:O9)</f>
        <v>1838594.909136557</v>
      </c>
      <c r="P10" s="310"/>
      <c r="Q10" s="389">
        <f>+SUM(Q5:Q9)</f>
        <v>644080.61735013314</v>
      </c>
      <c r="V10" s="351" t="s">
        <v>934</v>
      </c>
      <c r="W10" s="349" t="s">
        <v>722</v>
      </c>
      <c r="X10" s="352" t="s">
        <v>723</v>
      </c>
      <c r="Y10" s="349" t="s">
        <v>807</v>
      </c>
      <c r="Z10" s="349" t="s">
        <v>808</v>
      </c>
      <c r="AA10" s="352" t="s">
        <v>816</v>
      </c>
      <c r="AB10" s="349" t="s">
        <v>809</v>
      </c>
      <c r="AC10" s="349" t="s">
        <v>810</v>
      </c>
      <c r="AD10" s="352" t="s">
        <v>935</v>
      </c>
    </row>
    <row r="11" spans="2:38" ht="34.200000000000003" x14ac:dyDescent="0.3">
      <c r="B11" s="251" t="s">
        <v>876</v>
      </c>
      <c r="C11" s="252">
        <f>+Transport!K8</f>
        <v>1349782.3117283471</v>
      </c>
      <c r="D11" s="253">
        <f t="shared" si="0"/>
        <v>0.53991281002601899</v>
      </c>
      <c r="E11" s="393">
        <f>+C11</f>
        <v>1349782.3117283471</v>
      </c>
      <c r="F11" s="384">
        <f t="shared" si="1"/>
        <v>1</v>
      </c>
      <c r="G11" s="393">
        <v>0</v>
      </c>
      <c r="H11" s="384">
        <f t="shared" si="2"/>
        <v>0</v>
      </c>
      <c r="I11" s="299" t="s">
        <v>902</v>
      </c>
      <c r="J11" s="251" t="s">
        <v>901</v>
      </c>
      <c r="M11" s="409"/>
      <c r="N11" s="409" t="s">
        <v>457</v>
      </c>
      <c r="O11" s="409" t="s">
        <v>456</v>
      </c>
      <c r="V11" s="329" t="s">
        <v>936</v>
      </c>
      <c r="W11" s="354">
        <f>+'Drinking water'!AF18</f>
        <v>25824260</v>
      </c>
      <c r="X11" s="355">
        <f>+'Drinking water'!AG18</f>
        <v>5633360</v>
      </c>
      <c r="Y11" s="354">
        <f>+'Drinking water'!AK18</f>
        <v>167.191</v>
      </c>
      <c r="Z11" s="354">
        <f>+'Drinking water'!AL18</f>
        <v>19</v>
      </c>
      <c r="AA11" s="326">
        <f>+'Drinking water'!AM18</f>
        <v>139193</v>
      </c>
      <c r="AB11" s="350">
        <f>+'Drinking water'!AR18</f>
        <v>20.597999999999999</v>
      </c>
      <c r="AC11" s="350">
        <f>+'Drinking water'!AS18</f>
        <v>17.28</v>
      </c>
      <c r="AD11" s="326">
        <f>+'Drinking water'!AT18</f>
        <v>33100</v>
      </c>
      <c r="AI11" s="398"/>
    </row>
    <row r="12" spans="2:38" ht="48.6" thickBot="1" x14ac:dyDescent="0.35">
      <c r="B12" s="254"/>
      <c r="C12" s="255">
        <f>+SUM(C5:C11)</f>
        <v>2500000.5309436899</v>
      </c>
      <c r="D12" s="256">
        <v>1</v>
      </c>
      <c r="E12" s="394">
        <f>+SUM(E5:E11)</f>
        <v>1838594.909136557</v>
      </c>
      <c r="F12" s="394"/>
      <c r="G12" s="394">
        <f>+SUM(G5:G11)</f>
        <v>644080.61735013325</v>
      </c>
      <c r="H12" s="394"/>
      <c r="I12" s="254"/>
      <c r="J12" s="254"/>
      <c r="M12" s="409" t="s">
        <v>948</v>
      </c>
      <c r="N12" s="410">
        <f>+P8</f>
        <v>0.26454565408974001</v>
      </c>
      <c r="O12" s="410">
        <f>+R8</f>
        <v>0.73545434591025982</v>
      </c>
      <c r="V12" s="358" t="s">
        <v>939</v>
      </c>
      <c r="W12" s="356" t="s">
        <v>817</v>
      </c>
      <c r="X12" s="356" t="s">
        <v>818</v>
      </c>
      <c r="Y12" s="356" t="s">
        <v>937</v>
      </c>
      <c r="Z12" s="356" t="s">
        <v>820</v>
      </c>
    </row>
    <row r="13" spans="2:38" ht="23.55" customHeight="1" x14ac:dyDescent="0.3">
      <c r="M13" s="409" t="s">
        <v>949</v>
      </c>
      <c r="N13" s="410">
        <f>+P5</f>
        <v>0.48890615108248958</v>
      </c>
      <c r="O13" s="410">
        <f>+R5</f>
        <v>0.51109384891751042</v>
      </c>
      <c r="V13" s="348" t="s">
        <v>938</v>
      </c>
      <c r="W13" s="355">
        <f>+Irrigation!X17</f>
        <v>99.950000000000017</v>
      </c>
      <c r="X13" s="355">
        <f>+Irrigation!Z17</f>
        <v>96881</v>
      </c>
      <c r="Y13" s="357">
        <f>+Irrigation!AB17</f>
        <v>0.13209019242801842</v>
      </c>
      <c r="Z13" s="355">
        <f>+Irrigation!AC17</f>
        <v>52165000</v>
      </c>
    </row>
    <row r="14" spans="2:38" ht="51.6" x14ac:dyDescent="0.3">
      <c r="B14" s="295" t="s">
        <v>761</v>
      </c>
      <c r="C14" s="295" t="s">
        <v>918</v>
      </c>
      <c r="D14" s="295" t="s">
        <v>763</v>
      </c>
      <c r="M14" s="409" t="s">
        <v>950</v>
      </c>
      <c r="N14" s="410">
        <f>+P6</f>
        <v>0.37672706610971474</v>
      </c>
      <c r="O14" s="410">
        <f>+R6</f>
        <v>0.62327293389028526</v>
      </c>
      <c r="V14" s="359" t="s">
        <v>942</v>
      </c>
      <c r="W14" s="360" t="s">
        <v>879</v>
      </c>
      <c r="X14" s="360" t="s">
        <v>880</v>
      </c>
      <c r="Y14" s="360" t="s">
        <v>920</v>
      </c>
      <c r="Z14" s="360" t="s">
        <v>893</v>
      </c>
    </row>
    <row r="15" spans="2:38" ht="23.55" customHeight="1" x14ac:dyDescent="0.3">
      <c r="B15" s="318" t="s">
        <v>904</v>
      </c>
      <c r="C15" s="316">
        <v>117176.5852652435</v>
      </c>
      <c r="D15" s="319">
        <f t="shared" ref="D15:D28" si="6">+C15/$C$29</f>
        <v>5.0890605143863517E-2</v>
      </c>
      <c r="E15" s="390"/>
      <c r="F15" s="390"/>
      <c r="G15" s="390" t="s">
        <v>457</v>
      </c>
      <c r="H15" s="408">
        <f>+E12</f>
        <v>1838594.909136557</v>
      </c>
      <c r="M15" s="409" t="s">
        <v>951</v>
      </c>
      <c r="N15" s="410">
        <f>+P7</f>
        <v>0.4271598358310601</v>
      </c>
      <c r="O15" s="410">
        <f>+R7</f>
        <v>0.5728401641689399</v>
      </c>
      <c r="V15" s="330" t="s">
        <v>940</v>
      </c>
      <c r="W15" s="362">
        <f>+Transport!F8</f>
        <v>21</v>
      </c>
      <c r="X15" s="361">
        <f>+Transport!G8</f>
        <v>33.1</v>
      </c>
      <c r="Y15" s="326">
        <f>+Transport!H8</f>
        <v>213134</v>
      </c>
      <c r="Z15" s="327" t="s">
        <v>941</v>
      </c>
    </row>
    <row r="16" spans="2:38" x14ac:dyDescent="0.3">
      <c r="B16" s="318" t="s">
        <v>905</v>
      </c>
      <c r="C16" s="316">
        <v>34706.25756197</v>
      </c>
      <c r="D16" s="319">
        <f t="shared" si="6"/>
        <v>1.5073168804240049E-2</v>
      </c>
      <c r="E16" s="390"/>
      <c r="F16" s="390"/>
      <c r="G16" s="390" t="s">
        <v>456</v>
      </c>
      <c r="H16" s="408">
        <f>+G12</f>
        <v>644080.61735013325</v>
      </c>
      <c r="M16" s="409" t="s">
        <v>952</v>
      </c>
      <c r="N16" s="410">
        <f>+P9</f>
        <v>1</v>
      </c>
      <c r="O16" s="410">
        <f>+R9</f>
        <v>0</v>
      </c>
    </row>
    <row r="17" spans="2:8" x14ac:dyDescent="0.3">
      <c r="B17" s="318" t="s">
        <v>842</v>
      </c>
      <c r="C17" s="316">
        <v>45515.129473200002</v>
      </c>
      <c r="D17" s="319">
        <f t="shared" si="6"/>
        <v>1.9767536977197579E-2</v>
      </c>
      <c r="E17" s="390"/>
      <c r="F17" s="390"/>
      <c r="G17" s="390"/>
      <c r="H17" s="390"/>
    </row>
    <row r="18" spans="2:8" x14ac:dyDescent="0.3">
      <c r="B18" s="318" t="s">
        <v>906</v>
      </c>
      <c r="C18" s="316">
        <v>22599.075507999998</v>
      </c>
      <c r="D18" s="319">
        <f t="shared" si="6"/>
        <v>9.8149355154072537E-3</v>
      </c>
      <c r="E18" s="390"/>
      <c r="F18" s="390"/>
      <c r="G18" s="390"/>
      <c r="H18" s="390"/>
    </row>
    <row r="19" spans="2:8" x14ac:dyDescent="0.3">
      <c r="B19" s="318" t="s">
        <v>907</v>
      </c>
      <c r="C19" s="316">
        <v>79613.880841470003</v>
      </c>
      <c r="D19" s="319">
        <f t="shared" si="6"/>
        <v>3.457686162045568E-2</v>
      </c>
      <c r="E19" s="390"/>
      <c r="F19" s="390"/>
      <c r="G19" s="390"/>
      <c r="H19" s="390"/>
    </row>
    <row r="20" spans="2:8" x14ac:dyDescent="0.3">
      <c r="B20" s="318" t="s">
        <v>908</v>
      </c>
      <c r="C20" s="316">
        <v>37926.192399</v>
      </c>
      <c r="D20" s="319">
        <f t="shared" si="6"/>
        <v>1.6471608876625986E-2</v>
      </c>
      <c r="E20" s="390"/>
      <c r="F20" s="390"/>
      <c r="G20" s="390"/>
      <c r="H20" s="390"/>
    </row>
    <row r="21" spans="2:8" x14ac:dyDescent="0.3">
      <c r="B21" s="318" t="s">
        <v>909</v>
      </c>
      <c r="C21" s="316">
        <v>16811.333789</v>
      </c>
      <c r="D21" s="319">
        <f t="shared" si="6"/>
        <v>7.301279072615686E-3</v>
      </c>
      <c r="E21" s="390"/>
      <c r="F21" s="390"/>
      <c r="G21" s="390"/>
      <c r="H21" s="390"/>
    </row>
    <row r="22" spans="2:8" x14ac:dyDescent="0.3">
      <c r="B22" s="318" t="s">
        <v>910</v>
      </c>
      <c r="C22" s="316">
        <v>101869.254865</v>
      </c>
      <c r="D22" s="319">
        <f t="shared" si="6"/>
        <v>4.4242525193060288E-2</v>
      </c>
      <c r="E22" s="390"/>
      <c r="F22" s="390"/>
      <c r="G22" s="390"/>
      <c r="H22" s="390"/>
    </row>
    <row r="23" spans="2:8" x14ac:dyDescent="0.3">
      <c r="B23" s="318" t="s">
        <v>911</v>
      </c>
      <c r="C23" s="316">
        <v>113279.186353003</v>
      </c>
      <c r="D23" s="319">
        <f t="shared" si="6"/>
        <v>4.919793771647616E-2</v>
      </c>
      <c r="E23" s="390"/>
      <c r="F23" s="390"/>
      <c r="G23" s="390"/>
      <c r="H23" s="390"/>
    </row>
    <row r="24" spans="2:8" x14ac:dyDescent="0.3">
      <c r="B24" s="318" t="s">
        <v>396</v>
      </c>
      <c r="C24" s="316">
        <v>176799.00668173999</v>
      </c>
      <c r="D24" s="319">
        <f t="shared" si="6"/>
        <v>7.6785037031937606E-2</v>
      </c>
      <c r="E24" s="390"/>
      <c r="F24" s="390"/>
      <c r="G24" s="390"/>
      <c r="H24" s="390"/>
    </row>
    <row r="25" spans="2:8" x14ac:dyDescent="0.3">
      <c r="B25" s="318" t="s">
        <v>912</v>
      </c>
      <c r="C25" s="316">
        <v>34480.64693178</v>
      </c>
      <c r="D25" s="319">
        <f t="shared" si="6"/>
        <v>1.4975184539966878E-2</v>
      </c>
      <c r="E25" s="390"/>
      <c r="F25" s="390"/>
      <c r="G25" s="390"/>
      <c r="H25" s="390"/>
    </row>
    <row r="26" spans="2:8" x14ac:dyDescent="0.3">
      <c r="B26" s="318" t="s">
        <v>395</v>
      </c>
      <c r="C26" s="316">
        <v>1377554.0099967772</v>
      </c>
      <c r="D26" s="319">
        <f t="shared" si="6"/>
        <v>0.59828127802497044</v>
      </c>
      <c r="E26" s="390"/>
      <c r="F26" s="390"/>
      <c r="G26" s="390"/>
      <c r="H26" s="390"/>
    </row>
    <row r="27" spans="2:8" x14ac:dyDescent="0.3">
      <c r="B27" s="318" t="s">
        <v>913</v>
      </c>
      <c r="C27" s="316">
        <v>76239.137457300007</v>
      </c>
      <c r="D27" s="319">
        <f t="shared" si="6"/>
        <v>3.3111187120410293E-2</v>
      </c>
      <c r="E27" s="390"/>
      <c r="F27" s="390"/>
      <c r="G27" s="390"/>
      <c r="H27" s="390"/>
    </row>
    <row r="28" spans="2:8" x14ac:dyDescent="0.3">
      <c r="B28" s="318" t="s">
        <v>914</v>
      </c>
      <c r="C28" s="316">
        <v>67949.302876516536</v>
      </c>
      <c r="D28" s="319">
        <f t="shared" si="6"/>
        <v>2.9510854362772478E-2</v>
      </c>
      <c r="E28" s="390"/>
      <c r="F28" s="390"/>
      <c r="G28" s="390"/>
      <c r="H28" s="390"/>
    </row>
    <row r="29" spans="2:8" x14ac:dyDescent="0.3">
      <c r="B29" s="295" t="s">
        <v>828</v>
      </c>
      <c r="C29" s="317">
        <f>SUM(C15:C28)</f>
        <v>2302519.0000000005</v>
      </c>
      <c r="D29" s="315">
        <f>SUM(D15:D28)</f>
        <v>0.99999999999999989</v>
      </c>
    </row>
  </sheetData>
  <mergeCells count="5">
    <mergeCell ref="S5:T5"/>
    <mergeCell ref="J5:J6"/>
    <mergeCell ref="J7:J8"/>
    <mergeCell ref="I5:I6"/>
    <mergeCell ref="I7:I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EE231-9F23-4E39-B5FB-8BF65FCC6CC3}">
  <dimension ref="B4:L8"/>
  <sheetViews>
    <sheetView showGridLines="0" workbookViewId="0">
      <selection activeCell="B22" sqref="B22"/>
    </sheetView>
  </sheetViews>
  <sheetFormatPr defaultColWidth="8.77734375" defaultRowHeight="14.4" x14ac:dyDescent="0.3"/>
  <cols>
    <col min="2" max="2" width="48" customWidth="1"/>
    <col min="3" max="3" width="12.44140625" customWidth="1"/>
    <col min="4" max="4" width="22.6640625" bestFit="1" customWidth="1"/>
    <col min="5" max="5" width="62.77734375" customWidth="1"/>
    <col min="6" max="6" width="11.6640625" customWidth="1"/>
    <col min="7" max="7" width="12.33203125" customWidth="1"/>
    <col min="8" max="8" width="22.77734375" customWidth="1"/>
    <col min="9" max="9" width="22" customWidth="1"/>
    <col min="10" max="10" width="40.33203125" customWidth="1"/>
    <col min="11" max="11" width="14.6640625" customWidth="1"/>
  </cols>
  <sheetData>
    <row r="4" spans="2:12" ht="27.6" x14ac:dyDescent="0.3">
      <c r="B4" s="281" t="s">
        <v>877</v>
      </c>
      <c r="C4" s="281" t="s">
        <v>943</v>
      </c>
      <c r="D4" s="281" t="s">
        <v>878</v>
      </c>
      <c r="E4" s="282" t="s">
        <v>894</v>
      </c>
      <c r="F4" s="282" t="s">
        <v>879</v>
      </c>
      <c r="G4" s="282" t="s">
        <v>880</v>
      </c>
      <c r="H4" s="403" t="s">
        <v>920</v>
      </c>
      <c r="I4" s="403" t="s">
        <v>893</v>
      </c>
      <c r="J4" s="403" t="s">
        <v>881</v>
      </c>
      <c r="K4" s="282" t="s">
        <v>892</v>
      </c>
      <c r="L4" s="282" t="s">
        <v>763</v>
      </c>
    </row>
    <row r="5" spans="2:12" ht="41.4" x14ac:dyDescent="0.3">
      <c r="B5" s="283" t="s">
        <v>882</v>
      </c>
      <c r="C5" s="283" t="s">
        <v>395</v>
      </c>
      <c r="D5" s="293" t="s">
        <v>883</v>
      </c>
      <c r="E5" s="284" t="s">
        <v>884</v>
      </c>
      <c r="F5" s="283">
        <v>2</v>
      </c>
      <c r="G5" s="291">
        <v>2.9</v>
      </c>
      <c r="H5" s="404">
        <v>17850</v>
      </c>
      <c r="I5" s="293" t="s">
        <v>885</v>
      </c>
      <c r="J5" s="405" t="s">
        <v>886</v>
      </c>
      <c r="K5" s="285">
        <v>42442.024000000005</v>
      </c>
      <c r="L5" s="286">
        <f>+K5/$K$8</f>
        <v>3.1443606595832875E-2</v>
      </c>
    </row>
    <row r="6" spans="2:12" ht="43.2" x14ac:dyDescent="0.3">
      <c r="B6" s="283" t="s">
        <v>887</v>
      </c>
      <c r="C6" s="283" t="s">
        <v>395</v>
      </c>
      <c r="D6" s="293" t="s">
        <v>888</v>
      </c>
      <c r="E6" s="283" t="s">
        <v>889</v>
      </c>
      <c r="F6" s="283">
        <v>5</v>
      </c>
      <c r="G6" s="291">
        <v>6.2</v>
      </c>
      <c r="H6" s="404">
        <v>35000</v>
      </c>
      <c r="I6" s="293" t="s">
        <v>885</v>
      </c>
      <c r="J6" s="405" t="s">
        <v>886</v>
      </c>
      <c r="K6" s="285">
        <v>385272.26799999998</v>
      </c>
      <c r="L6" s="286">
        <f>+K6/$K$8</f>
        <v>0.28543289140207567</v>
      </c>
    </row>
    <row r="7" spans="2:12" ht="28.8" x14ac:dyDescent="0.3">
      <c r="B7" s="283" t="s">
        <v>890</v>
      </c>
      <c r="C7" s="283" t="s">
        <v>395</v>
      </c>
      <c r="D7" s="293" t="s">
        <v>888</v>
      </c>
      <c r="E7" s="283" t="s">
        <v>891</v>
      </c>
      <c r="F7" s="287">
        <v>14</v>
      </c>
      <c r="G7" s="292">
        <v>24</v>
      </c>
      <c r="H7" s="406">
        <v>160284</v>
      </c>
      <c r="I7" s="293" t="s">
        <v>885</v>
      </c>
      <c r="J7" s="405" t="s">
        <v>886</v>
      </c>
      <c r="K7" s="288">
        <v>922068.01972834719</v>
      </c>
      <c r="L7" s="286">
        <f>+K7/$K$8</f>
        <v>0.68312350200209149</v>
      </c>
    </row>
    <row r="8" spans="2:12" x14ac:dyDescent="0.3">
      <c r="F8" s="294">
        <f>+SUM(F5:F7)</f>
        <v>21</v>
      </c>
      <c r="G8" s="294">
        <f>+SUM(G5:G7)</f>
        <v>33.1</v>
      </c>
      <c r="H8" s="407">
        <f>+SUM(H5:H7)</f>
        <v>213134</v>
      </c>
      <c r="K8" s="289">
        <f>+SUM(K5:K7)</f>
        <v>1349782.3117283471</v>
      </c>
      <c r="L8" s="290"/>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37"/>
  <sheetViews>
    <sheetView showGridLines="0" zoomScale="62" zoomScaleNormal="85" workbookViewId="0">
      <selection activeCell="D35" sqref="D35"/>
    </sheetView>
  </sheetViews>
  <sheetFormatPr defaultColWidth="8.77734375" defaultRowHeight="13.8" x14ac:dyDescent="0.3"/>
  <cols>
    <col min="1" max="2" width="8.77734375" style="3"/>
    <col min="3" max="3" width="31" style="3" customWidth="1"/>
    <col min="4" max="4" width="31.77734375" style="3" customWidth="1"/>
    <col min="5" max="5" width="23.44140625" style="3" customWidth="1"/>
    <col min="6" max="6" width="21" style="3" hidden="1" customWidth="1"/>
    <col min="7" max="7" width="21" style="27" hidden="1" customWidth="1"/>
    <col min="8" max="8" width="20.44140625" style="27" customWidth="1"/>
    <col min="9" max="9" width="15.44140625" style="27" customWidth="1"/>
    <col min="10" max="10" width="15.6640625" style="3" hidden="1" customWidth="1"/>
    <col min="11" max="11" width="18.33203125" style="27" customWidth="1"/>
    <col min="12" max="12" width="18.33203125" style="3" customWidth="1"/>
    <col min="13" max="13" width="43.109375" style="3" customWidth="1"/>
    <col min="14" max="15" width="18.33203125" style="3" customWidth="1"/>
    <col min="16" max="16" width="19.77734375" style="5" bestFit="1" customWidth="1"/>
    <col min="17" max="17" width="17.77734375" style="5" customWidth="1"/>
    <col min="18" max="18" width="26.44140625" style="5" customWidth="1"/>
    <col min="19" max="20" width="16.44140625" style="52" customWidth="1"/>
    <col min="21" max="21" width="23.6640625" style="5" bestFit="1" customWidth="1"/>
    <col min="22" max="23" width="18.6640625" style="5" customWidth="1"/>
    <col min="24" max="24" width="14.6640625" style="5" customWidth="1"/>
    <col min="25" max="25" width="15" style="5" customWidth="1"/>
    <col min="26" max="26" width="27" style="5" customWidth="1"/>
    <col min="27" max="27" width="30.33203125" style="5" customWidth="1"/>
    <col min="28" max="28" width="31.33203125" style="5" customWidth="1"/>
    <col min="29" max="29" width="28.44140625" style="3" customWidth="1"/>
    <col min="30" max="30" width="8.77734375" style="3"/>
    <col min="31" max="31" width="21.33203125" style="3" customWidth="1"/>
    <col min="32" max="32" width="12.33203125" style="52" bestFit="1" customWidth="1"/>
    <col min="33" max="33" width="5.77734375" style="171" bestFit="1" customWidth="1"/>
    <col min="34" max="34" width="12.44140625" style="171" customWidth="1"/>
    <col min="35" max="35" width="8.109375" style="171" customWidth="1"/>
    <col min="36" max="36" width="14" style="171" customWidth="1"/>
    <col min="37" max="37" width="6.77734375" style="171" customWidth="1"/>
    <col min="38" max="38" width="12.44140625" style="3" bestFit="1" customWidth="1"/>
    <col min="39" max="39" width="6.77734375" style="3" customWidth="1"/>
    <col min="40" max="40" width="14.44140625" style="3" bestFit="1" customWidth="1"/>
    <col min="41" max="41" width="6.77734375" style="3" customWidth="1"/>
    <col min="42" max="42" width="15.109375" style="3" bestFit="1" customWidth="1"/>
    <col min="43" max="43" width="12.77734375" style="3" customWidth="1"/>
    <col min="44" max="44" width="11.109375" style="3" customWidth="1"/>
    <col min="45" max="45" width="14.109375" style="3" customWidth="1"/>
    <col min="46" max="46" width="12.6640625" style="3" customWidth="1"/>
    <col min="47" max="47" width="13.109375" style="3" customWidth="1"/>
    <col min="48" max="48" width="12.6640625" style="3" customWidth="1"/>
    <col min="49" max="49" width="15.77734375" style="3" customWidth="1"/>
    <col min="50" max="50" width="14.109375" style="3" customWidth="1"/>
    <col min="51" max="51" width="9.6640625" style="3" bestFit="1" customWidth="1"/>
    <col min="52" max="52" width="6.6640625" style="3" customWidth="1"/>
    <col min="53" max="53" width="14.44140625" style="3" customWidth="1"/>
    <col min="54" max="54" width="13.109375" style="3" customWidth="1"/>
    <col min="55" max="55" width="13.77734375" style="3" customWidth="1"/>
    <col min="56" max="56" width="18.44140625" style="3" customWidth="1"/>
    <col min="57" max="57" width="16.44140625" style="3" customWidth="1"/>
    <col min="58" max="62" width="8.77734375" style="3"/>
    <col min="63" max="63" width="12.44140625" style="3" customWidth="1"/>
    <col min="64" max="64" width="5.109375" style="3" bestFit="1" customWidth="1"/>
    <col min="65" max="65" width="12.44140625" style="3" bestFit="1" customWidth="1"/>
    <col min="66" max="66" width="5.109375" style="3" bestFit="1" customWidth="1"/>
    <col min="67" max="67" width="14.6640625" style="3" bestFit="1" customWidth="1"/>
    <col min="68" max="68" width="5.109375" style="3" bestFit="1" customWidth="1"/>
    <col min="69" max="69" width="14.77734375" style="3" customWidth="1"/>
    <col min="70" max="70" width="14.6640625" style="3" customWidth="1"/>
    <col min="71" max="71" width="15.109375" style="3" customWidth="1"/>
    <col min="72" max="72" width="11.77734375" style="3" customWidth="1"/>
    <col min="73" max="73" width="5.109375" style="3" bestFit="1" customWidth="1"/>
    <col min="74" max="74" width="13.109375" style="3" customWidth="1"/>
    <col min="75" max="75" width="5.109375" style="3" bestFit="1" customWidth="1"/>
    <col min="76" max="76" width="16.109375" style="3" customWidth="1"/>
    <col min="77" max="77" width="5.109375" style="3" bestFit="1" customWidth="1"/>
    <col min="78" max="78" width="10.77734375" style="3" customWidth="1"/>
    <col min="79" max="79" width="5.109375" style="3" bestFit="1" customWidth="1"/>
    <col min="80" max="80" width="12.109375" style="3" customWidth="1"/>
    <col min="81" max="81" width="5.109375" style="3" bestFit="1" customWidth="1"/>
    <col min="82" max="82" width="16.77734375" style="3" customWidth="1"/>
    <col min="83" max="83" width="5.109375" style="3" bestFit="1" customWidth="1"/>
    <col min="84" max="84" width="14.44140625" style="3" customWidth="1"/>
    <col min="85" max="85" width="5.109375" style="3" bestFit="1" customWidth="1"/>
    <col min="86" max="86" width="16" style="3" customWidth="1"/>
    <col min="87" max="87" width="5.109375" style="3" bestFit="1" customWidth="1"/>
    <col min="88" max="88" width="18.77734375" style="3" customWidth="1"/>
    <col min="89" max="89" width="5.109375" style="3" bestFit="1" customWidth="1"/>
    <col min="90" max="90" width="19" style="3" customWidth="1"/>
    <col min="91" max="91" width="5.109375" style="3" bestFit="1" customWidth="1"/>
    <col min="92" max="92" width="18.77734375" style="3" customWidth="1"/>
    <col min="93" max="93" width="5.109375" style="3" bestFit="1" customWidth="1"/>
    <col min="94" max="16384" width="8.77734375" style="3"/>
  </cols>
  <sheetData>
    <row r="1" spans="1:93" x14ac:dyDescent="0.3">
      <c r="B1" s="2" t="s">
        <v>453</v>
      </c>
      <c r="AF1" s="3"/>
      <c r="AG1" s="3"/>
      <c r="AH1" s="3"/>
      <c r="AI1" s="3"/>
      <c r="AJ1" s="3"/>
      <c r="AK1" s="3"/>
    </row>
    <row r="2" spans="1:93" s="131" customFormat="1" ht="57.45" customHeight="1" x14ac:dyDescent="0.3">
      <c r="B2" s="423" t="s">
        <v>431</v>
      </c>
      <c r="C2" s="423" t="s">
        <v>400</v>
      </c>
      <c r="D2" s="423" t="s">
        <v>432</v>
      </c>
      <c r="E2" s="423" t="s">
        <v>433</v>
      </c>
      <c r="F2" s="423" t="s">
        <v>434</v>
      </c>
      <c r="G2" s="423" t="s">
        <v>435</v>
      </c>
      <c r="H2" s="423" t="s">
        <v>436</v>
      </c>
      <c r="I2" s="423" t="s">
        <v>437</v>
      </c>
      <c r="J2" s="423" t="s">
        <v>438</v>
      </c>
      <c r="K2" s="423" t="s">
        <v>439</v>
      </c>
      <c r="L2" s="423" t="s">
        <v>403</v>
      </c>
      <c r="M2" s="423" t="s">
        <v>401</v>
      </c>
      <c r="N2" s="423" t="s">
        <v>402</v>
      </c>
      <c r="O2" s="438" t="s">
        <v>769</v>
      </c>
      <c r="P2" s="437" t="s">
        <v>454</v>
      </c>
      <c r="Q2" s="435" t="s">
        <v>440</v>
      </c>
      <c r="R2" s="428" t="s">
        <v>441</v>
      </c>
      <c r="S2" s="433" t="s">
        <v>675</v>
      </c>
      <c r="T2" s="434"/>
      <c r="U2" s="428" t="s">
        <v>444</v>
      </c>
      <c r="V2" s="430" t="s">
        <v>445</v>
      </c>
      <c r="W2" s="431"/>
      <c r="X2" s="430" t="s">
        <v>448</v>
      </c>
      <c r="Y2" s="431"/>
      <c r="Z2" s="428" t="s">
        <v>451</v>
      </c>
      <c r="AA2" s="428" t="s">
        <v>749</v>
      </c>
      <c r="AB2" s="428" t="s">
        <v>770</v>
      </c>
      <c r="AE2" s="432" t="s">
        <v>761</v>
      </c>
      <c r="AF2" s="425" t="s">
        <v>773</v>
      </c>
      <c r="AG2" s="426"/>
      <c r="AH2" s="426"/>
      <c r="AI2" s="426"/>
      <c r="AJ2" s="426"/>
      <c r="AK2" s="426"/>
      <c r="AL2" s="426"/>
      <c r="AM2" s="426"/>
      <c r="AN2" s="426"/>
      <c r="AO2" s="427"/>
      <c r="AP2" s="419" t="s">
        <v>765</v>
      </c>
      <c r="AQ2" s="421"/>
      <c r="AR2" s="421"/>
      <c r="AS2" s="421"/>
      <c r="AT2" s="420"/>
      <c r="AU2" s="419" t="s">
        <v>768</v>
      </c>
      <c r="AV2" s="421"/>
      <c r="AW2" s="421"/>
      <c r="AX2" s="421"/>
      <c r="AY2" s="421"/>
      <c r="AZ2" s="420"/>
      <c r="BA2" s="419" t="s">
        <v>780</v>
      </c>
      <c r="BB2" s="420"/>
      <c r="BC2" s="422" t="s">
        <v>782</v>
      </c>
      <c r="BD2" s="418" t="s">
        <v>783</v>
      </c>
      <c r="BE2" s="418" t="s">
        <v>784</v>
      </c>
    </row>
    <row r="3" spans="1:93" s="131" customFormat="1" ht="70.2" x14ac:dyDescent="0.3">
      <c r="B3" s="424"/>
      <c r="C3" s="424"/>
      <c r="D3" s="424"/>
      <c r="E3" s="424"/>
      <c r="F3" s="424"/>
      <c r="G3" s="424"/>
      <c r="H3" s="424"/>
      <c r="I3" s="424"/>
      <c r="J3" s="424"/>
      <c r="K3" s="424"/>
      <c r="L3" s="424"/>
      <c r="M3" s="424"/>
      <c r="N3" s="424"/>
      <c r="O3" s="439"/>
      <c r="P3" s="437"/>
      <c r="Q3" s="436"/>
      <c r="R3" s="429"/>
      <c r="S3" s="133" t="s">
        <v>442</v>
      </c>
      <c r="T3" s="133" t="s">
        <v>443</v>
      </c>
      <c r="U3" s="429"/>
      <c r="V3" s="132" t="s">
        <v>446</v>
      </c>
      <c r="W3" s="132" t="s">
        <v>447</v>
      </c>
      <c r="X3" s="132" t="s">
        <v>449</v>
      </c>
      <c r="Y3" s="132" t="s">
        <v>450</v>
      </c>
      <c r="Z3" s="429"/>
      <c r="AA3" s="429"/>
      <c r="AB3" s="429"/>
      <c r="AE3" s="432"/>
      <c r="AF3" s="163" t="s">
        <v>779</v>
      </c>
      <c r="AG3" s="179" t="s">
        <v>763</v>
      </c>
      <c r="AH3" s="182" t="s">
        <v>777</v>
      </c>
      <c r="AI3" s="179" t="s">
        <v>763</v>
      </c>
      <c r="AJ3" s="182" t="s">
        <v>778</v>
      </c>
      <c r="AK3" s="179" t="s">
        <v>763</v>
      </c>
      <c r="AL3" s="182" t="s">
        <v>775</v>
      </c>
      <c r="AM3" s="179" t="s">
        <v>763</v>
      </c>
      <c r="AN3" s="182" t="s">
        <v>776</v>
      </c>
      <c r="AO3" s="179" t="s">
        <v>763</v>
      </c>
      <c r="AP3" s="182" t="s">
        <v>791</v>
      </c>
      <c r="AQ3" s="163" t="s">
        <v>771</v>
      </c>
      <c r="AR3" s="164" t="s">
        <v>762</v>
      </c>
      <c r="AS3" s="179" t="s">
        <v>764</v>
      </c>
      <c r="AT3" s="185" t="s">
        <v>792</v>
      </c>
      <c r="AU3" s="163" t="s">
        <v>766</v>
      </c>
      <c r="AV3" s="185" t="s">
        <v>767</v>
      </c>
      <c r="AW3" s="185" t="s">
        <v>774</v>
      </c>
      <c r="AX3" s="182" t="s">
        <v>781</v>
      </c>
      <c r="AY3" s="165" t="s">
        <v>449</v>
      </c>
      <c r="AZ3" s="192" t="s">
        <v>450</v>
      </c>
      <c r="BA3" s="194" t="s">
        <v>442</v>
      </c>
      <c r="BB3" s="192" t="s">
        <v>443</v>
      </c>
      <c r="BC3" s="422"/>
      <c r="BD3" s="418"/>
      <c r="BE3" s="418"/>
      <c r="BJ3" s="178" t="s">
        <v>757</v>
      </c>
      <c r="BK3" s="165" t="s">
        <v>758</v>
      </c>
      <c r="BL3" s="164" t="s">
        <v>763</v>
      </c>
      <c r="BM3" s="162" t="s">
        <v>458</v>
      </c>
      <c r="BN3" s="203" t="s">
        <v>763</v>
      </c>
      <c r="BO3" s="162" t="s">
        <v>455</v>
      </c>
      <c r="BP3" s="204" t="s">
        <v>763</v>
      </c>
      <c r="BQ3" s="182" t="s">
        <v>790</v>
      </c>
      <c r="BR3" s="163" t="s">
        <v>759</v>
      </c>
      <c r="BS3" s="185" t="s">
        <v>760</v>
      </c>
      <c r="BT3" s="194" t="s">
        <v>791</v>
      </c>
      <c r="BU3" s="206" t="s">
        <v>763</v>
      </c>
      <c r="BV3" s="163" t="s">
        <v>785</v>
      </c>
      <c r="BW3" s="164" t="s">
        <v>763</v>
      </c>
      <c r="BX3" s="163" t="s">
        <v>803</v>
      </c>
      <c r="BY3" s="164" t="s">
        <v>763</v>
      </c>
      <c r="BZ3" s="165" t="s">
        <v>772</v>
      </c>
      <c r="CA3" s="179" t="s">
        <v>763</v>
      </c>
      <c r="CB3" s="163" t="s">
        <v>766</v>
      </c>
      <c r="CC3" s="164" t="s">
        <v>763</v>
      </c>
      <c r="CD3" s="163" t="s">
        <v>787</v>
      </c>
      <c r="CE3" s="164" t="s">
        <v>763</v>
      </c>
      <c r="CF3" s="165" t="s">
        <v>788</v>
      </c>
      <c r="CG3" s="164" t="s">
        <v>763</v>
      </c>
      <c r="CH3" s="165" t="s">
        <v>789</v>
      </c>
      <c r="CI3" s="179" t="s">
        <v>763</v>
      </c>
      <c r="CJ3" s="194" t="s">
        <v>782</v>
      </c>
      <c r="CK3" s="164" t="s">
        <v>763</v>
      </c>
      <c r="CL3" s="165" t="s">
        <v>783</v>
      </c>
      <c r="CM3" s="179" t="s">
        <v>763</v>
      </c>
      <c r="CN3" s="165" t="s">
        <v>784</v>
      </c>
      <c r="CO3" s="179" t="s">
        <v>763</v>
      </c>
    </row>
    <row r="4" spans="1:93" s="16" customFormat="1" ht="55.2" x14ac:dyDescent="0.3">
      <c r="B4" s="6">
        <v>1</v>
      </c>
      <c r="C4" s="7" t="s">
        <v>459</v>
      </c>
      <c r="D4" s="11" t="s">
        <v>379</v>
      </c>
      <c r="E4" s="6" t="s">
        <v>396</v>
      </c>
      <c r="F4" s="9" t="s">
        <v>48</v>
      </c>
      <c r="G4" s="6" t="s">
        <v>46</v>
      </c>
      <c r="H4" s="10">
        <v>44323</v>
      </c>
      <c r="I4" s="10">
        <v>44477</v>
      </c>
      <c r="J4" s="17" t="s">
        <v>24</v>
      </c>
      <c r="K4" s="6" t="s">
        <v>385</v>
      </c>
      <c r="L4" s="20" t="s">
        <v>455</v>
      </c>
      <c r="M4" s="77" t="s">
        <v>555</v>
      </c>
      <c r="N4" s="20" t="s">
        <v>456</v>
      </c>
      <c r="O4" s="51">
        <v>6547.3278025500003</v>
      </c>
      <c r="P4" s="13">
        <v>280</v>
      </c>
      <c r="Q4" s="13">
        <v>37</v>
      </c>
      <c r="R4" s="30" t="s">
        <v>383</v>
      </c>
      <c r="S4" s="14">
        <v>1850.3</v>
      </c>
      <c r="T4" s="14">
        <v>2868.1</v>
      </c>
      <c r="U4" s="15">
        <v>240</v>
      </c>
      <c r="V4" s="13">
        <v>4</v>
      </c>
      <c r="W4" s="13">
        <v>3</v>
      </c>
      <c r="X4" s="13">
        <v>189</v>
      </c>
      <c r="Y4" s="13">
        <v>190</v>
      </c>
      <c r="Z4" s="13">
        <v>93</v>
      </c>
      <c r="AA4" s="13">
        <v>46</v>
      </c>
      <c r="AB4" s="20">
        <v>4600</v>
      </c>
      <c r="AE4" s="16" t="s">
        <v>386</v>
      </c>
      <c r="AF4" s="183">
        <f t="shared" ref="AF4:AF17" si="0">+SUMIFS($O$4:$O$36,$E$4:$E$36,AE4)</f>
        <v>28443.400063569999</v>
      </c>
      <c r="AG4" s="180">
        <f t="shared" ref="AG4:AG17" si="1">+AF4/$AF$18</f>
        <v>0.11478123919723687</v>
      </c>
      <c r="AH4" s="183">
        <f t="shared" ref="AH4:AH17" si="2">+SUMIFS($O$4:$O$36,$E$4:$E$36,AE4,$N$4:$N$36,$N$4)</f>
        <v>12543.07969889</v>
      </c>
      <c r="AI4" s="180">
        <f>+AH4/AF4</f>
        <v>0.44098383705382121</v>
      </c>
      <c r="AJ4" s="183">
        <f t="shared" ref="AJ4:AJ17" si="3">+SUMIFS($O$4:$O$36,$E$4:$E$36,AE4,$N$4:$N$36,$N$9)</f>
        <v>15900.320364679999</v>
      </c>
      <c r="AK4" s="180">
        <f>+AJ4/AF4</f>
        <v>0.55901616294617884</v>
      </c>
      <c r="AL4" s="183">
        <f t="shared" ref="AL4:AL17" si="4">+SUMIFS($O$4:$O$36,$E$4:$E$36,AE4,$L$4:$L$36,$L$11)</f>
        <v>6505.4643569999998</v>
      </c>
      <c r="AM4" s="180">
        <f>+AL4/AF4</f>
        <v>0.22871612895998775</v>
      </c>
      <c r="AN4" s="183">
        <f>+SUMIFS($O$4:$O$36,$E$4:$E$36,AE4,$L$4:$L$36,$L$10)</f>
        <v>21937.935706570002</v>
      </c>
      <c r="AO4" s="180">
        <f>+AN4/AF4</f>
        <v>0.77128387104001239</v>
      </c>
      <c r="AP4" s="205">
        <f t="shared" ref="AP4:AP17" si="5">+SUMIFS($Q$4:$Q$36,$E$4:$E$36,AE4)</f>
        <v>232</v>
      </c>
      <c r="AQ4" s="16">
        <f t="shared" ref="AQ4:AQ17" si="6">+AR4+AS4</f>
        <v>139</v>
      </c>
      <c r="AR4" s="175">
        <f t="shared" ref="AR4:AR17" si="7">+SUMIFS($V$4:$V$36,$E$4:$E$36,AE4)</f>
        <v>112</v>
      </c>
      <c r="AS4" s="184">
        <f t="shared" ref="AS4:AS17" si="8">+SUMIFS($W$4:$W$36,$E$4:$E$36,AE4)</f>
        <v>27</v>
      </c>
      <c r="AT4" s="186">
        <f t="shared" ref="AT4:AT17" si="9">+AP4+AQ4</f>
        <v>371</v>
      </c>
      <c r="AU4" s="16">
        <f t="shared" ref="AU4:AU17" si="10">+SUMIFS($P$4:$P$36,$E$4:$E$36,AE4)</f>
        <v>1934</v>
      </c>
      <c r="AV4" s="188">
        <f t="shared" ref="AV4:AV17" si="11">+SUMIFS($U$4:$U$36,$E$4:$E$36,AE4)</f>
        <v>1795</v>
      </c>
      <c r="AW4" s="188">
        <f t="shared" ref="AW4:AW17" si="12">+SUM(AU4:AV4)</f>
        <v>3729</v>
      </c>
      <c r="AX4" s="193">
        <f t="shared" ref="AX4:AX17" si="13">+SUMIFS($X$4:$X$36,$E$4:$E$36,AE4)++SUMIFS($Y$4:$Y$36,$E$4:$E$36,AE4)</f>
        <v>4972</v>
      </c>
      <c r="AY4" s="174">
        <f>+SUMIFS($X$4:$X$36,$E$4:$E$36,AE4)/AX4</f>
        <v>0.55732099758648435</v>
      </c>
      <c r="AZ4" s="180">
        <f>SUMIFS($Y$4:$Y$36,$E$4:$E$36,AE4)/AX4</f>
        <v>0.44267900241351571</v>
      </c>
      <c r="BA4" s="183">
        <f>+SUMIFS($S$4:$S$36,$E$4:$E$36,AE4)</f>
        <v>13046.08</v>
      </c>
      <c r="BB4" s="189">
        <f>+SUMIFS($T$4:$T$36,$E$4:$E$36,AE4)</f>
        <v>24571.38</v>
      </c>
      <c r="BC4" s="193">
        <f>+SUMIFS($Z$4:$Z$36,$E$4:$E$36,AE4)</f>
        <v>819</v>
      </c>
      <c r="BD4" s="198">
        <f>+SUMIFS($AA$4:$AA$36,$E$4:$E$36,AE4)</f>
        <v>163</v>
      </c>
      <c r="BE4" s="198">
        <f>+SUMIFS($AB$4:$AB$36,$E$4:$E$36,AE4)</f>
        <v>32872</v>
      </c>
      <c r="BJ4" s="188" t="s">
        <v>456</v>
      </c>
      <c r="BK4" s="173">
        <f>+SUMIFS($O$4:$O$36,$N$4:$N$36,BJ4)</f>
        <v>160621.46514176004</v>
      </c>
      <c r="BL4" s="174">
        <f>+BK4/$BK$6</f>
        <v>0.6481760538276875</v>
      </c>
      <c r="BM4" s="173">
        <f>+SUMIFS($O$4:$O$36,$N$4:$N$36,BJ4,$L$4:$L$36,$BM$3)</f>
        <v>6505.4643569999998</v>
      </c>
      <c r="BN4" s="174">
        <f>+BM4/$BM$6</f>
        <v>0.22606917412894775</v>
      </c>
      <c r="BO4" s="173">
        <f>+SUMIFS($O$4:$O$36,$N$4:$N$36,BJ4,$L$4:$L$36,$BO$3)</f>
        <v>154116.00078476002</v>
      </c>
      <c r="BP4" s="180">
        <f>+BO4/$BO$6</f>
        <v>0.70363326370981139</v>
      </c>
      <c r="BQ4" s="205">
        <f>+COUNTIFS($N$4:$N$36,BJ4)</f>
        <v>23</v>
      </c>
      <c r="BR4" s="16">
        <f>+COUNTIFS($N$4:$N$36,BJ4,$L$4:$L$36,$BM$3)</f>
        <v>1</v>
      </c>
      <c r="BS4" s="188">
        <f>+COUNTIFS($N$4:$N$36,BJ4,$L$4:$L$36,$BO$3)</f>
        <v>22</v>
      </c>
      <c r="BT4" s="193">
        <f>+SUMIFS($Q$4:$Q$36,$N$4:$N$36,BJ4)</f>
        <v>1712</v>
      </c>
      <c r="BU4" s="174">
        <f>+BT4/BT6</f>
        <v>0.71214642262895178</v>
      </c>
      <c r="BV4" s="16">
        <f>+SUMIFS($V$4:$V$36,$N$4:$N$36,BJ4)</f>
        <v>289</v>
      </c>
      <c r="BW4" s="174">
        <f>+BV4/BV6</f>
        <v>0.46166134185303515</v>
      </c>
      <c r="BX4" s="16">
        <f>+SUMIFS($W$4:$W$36,$N$4:$N$36,BJ4)</f>
        <v>73</v>
      </c>
      <c r="BY4" s="174">
        <f>+BX4/BX6</f>
        <v>0.46202531645569622</v>
      </c>
      <c r="BZ4" s="190">
        <f>+BT4+BV4+BX4</f>
        <v>2074</v>
      </c>
      <c r="CA4" s="180">
        <f>+BZ4/BZ6</f>
        <v>0.65056461731493098</v>
      </c>
      <c r="CB4" s="44">
        <f>+SUMIFS($P$4:$P$36,$N$4:$N$36,BJ4)</f>
        <v>12642</v>
      </c>
      <c r="CC4" s="174">
        <f>+CB4/CB6</f>
        <v>0.70034901113511716</v>
      </c>
      <c r="CD4" s="44">
        <f>+SUMIFS($U$4:$U$36,$N$4:$N$36,BJ4)</f>
        <v>6729</v>
      </c>
      <c r="CE4" s="174">
        <f>+CD4/CD6</f>
        <v>0.56408751781373123</v>
      </c>
      <c r="CF4" s="44">
        <f>+SUMIFS($X$4:$X$36,$N$4:$N$36,BJ4)</f>
        <v>11821</v>
      </c>
      <c r="CG4" s="174">
        <f>+CF4/CF6</f>
        <v>0.6246895312582571</v>
      </c>
      <c r="CH4" s="44">
        <f>+SUMIFS($Y$4:$Y$36,$N$4:$N$36,BJ4)</f>
        <v>10770</v>
      </c>
      <c r="CI4" s="180">
        <f>+CH4/CH6</f>
        <v>0.61599176389842136</v>
      </c>
      <c r="CJ4" s="44">
        <f>+SUMIFS($Z$4:$Z$36,$N$4:$N$36,BJ4)</f>
        <v>3721</v>
      </c>
      <c r="CK4" s="191">
        <f>+CJ4/CJ6</f>
        <v>0.67951059167275385</v>
      </c>
      <c r="CL4" s="44">
        <f>+SUMIFS($AA$4:$AA$36,$N$4:$N$36,BJ4)</f>
        <v>1407</v>
      </c>
      <c r="CM4" s="180">
        <f>+CL4/CL6</f>
        <v>0.68970588235294117</v>
      </c>
      <c r="CN4" s="44">
        <f>+SUMIFS($AB$4:$AB$36,$N$4:$N$36,BJ4)</f>
        <v>98106</v>
      </c>
      <c r="CO4" s="180">
        <f>+CN4/CN6</f>
        <v>0.61242376383487418</v>
      </c>
    </row>
    <row r="5" spans="1:93" s="16" customFormat="1" ht="55.2" x14ac:dyDescent="0.3">
      <c r="B5" s="6">
        <f>+B4+1</f>
        <v>2</v>
      </c>
      <c r="C5" s="7" t="s">
        <v>460</v>
      </c>
      <c r="D5" s="11" t="s">
        <v>379</v>
      </c>
      <c r="E5" s="6" t="s">
        <v>396</v>
      </c>
      <c r="F5" s="17" t="s">
        <v>39</v>
      </c>
      <c r="G5" s="6" t="s">
        <v>36</v>
      </c>
      <c r="H5" s="10">
        <v>44328</v>
      </c>
      <c r="I5" s="10">
        <v>44472</v>
      </c>
      <c r="J5" s="17" t="s">
        <v>25</v>
      </c>
      <c r="K5" s="6" t="s">
        <v>385</v>
      </c>
      <c r="L5" s="20" t="s">
        <v>455</v>
      </c>
      <c r="M5" s="77" t="s">
        <v>556</v>
      </c>
      <c r="N5" s="20" t="s">
        <v>456</v>
      </c>
      <c r="O5" s="51">
        <v>8642.2631283499995</v>
      </c>
      <c r="P5" s="13">
        <v>640</v>
      </c>
      <c r="Q5" s="13">
        <v>72</v>
      </c>
      <c r="R5" s="30" t="s">
        <v>383</v>
      </c>
      <c r="S5" s="14">
        <v>3293.8</v>
      </c>
      <c r="T5" s="14">
        <v>5922.7</v>
      </c>
      <c r="U5" s="15">
        <v>520</v>
      </c>
      <c r="V5" s="13">
        <v>16</v>
      </c>
      <c r="W5" s="13">
        <v>7</v>
      </c>
      <c r="X5" s="13">
        <v>585</v>
      </c>
      <c r="Y5" s="13">
        <v>579</v>
      </c>
      <c r="Z5" s="13">
        <v>93</v>
      </c>
      <c r="AA5" s="13">
        <v>38</v>
      </c>
      <c r="AB5" s="20">
        <v>5200</v>
      </c>
      <c r="AE5" s="3" t="s">
        <v>387</v>
      </c>
      <c r="AF5" s="183">
        <f t="shared" si="0"/>
        <v>17638.16026597</v>
      </c>
      <c r="AG5" s="180">
        <f t="shared" si="1"/>
        <v>7.1177492422240266E-2</v>
      </c>
      <c r="AH5" s="183">
        <f t="shared" si="2"/>
        <v>0</v>
      </c>
      <c r="AI5" s="180">
        <f>+AH5/AF5</f>
        <v>0</v>
      </c>
      <c r="AJ5" s="183">
        <f t="shared" si="3"/>
        <v>17638.16026597</v>
      </c>
      <c r="AK5" s="180">
        <f>+AJ5/AF5</f>
        <v>1</v>
      </c>
      <c r="AL5" s="183">
        <f t="shared" si="4"/>
        <v>6066.1262659699996</v>
      </c>
      <c r="AM5" s="180">
        <f>+AL5/AF5</f>
        <v>0.34392057757143851</v>
      </c>
      <c r="AN5" s="183">
        <f>+SUMIFS($O$4:$O$36,$E$4:$E$36,AE5,$L$4:$L$36,$L$10)</f>
        <v>11572.034</v>
      </c>
      <c r="AO5" s="180">
        <f>+AN5/AF5</f>
        <v>0.65607942242856143</v>
      </c>
      <c r="AP5" s="205">
        <f t="shared" si="5"/>
        <v>50</v>
      </c>
      <c r="AQ5" s="16">
        <f t="shared" si="6"/>
        <v>187</v>
      </c>
      <c r="AR5" s="175">
        <f t="shared" si="7"/>
        <v>146</v>
      </c>
      <c r="AS5" s="184">
        <f t="shared" si="8"/>
        <v>41</v>
      </c>
      <c r="AT5" s="186">
        <f t="shared" si="9"/>
        <v>237</v>
      </c>
      <c r="AU5" s="16">
        <f t="shared" si="10"/>
        <v>600</v>
      </c>
      <c r="AV5" s="188">
        <f t="shared" si="11"/>
        <v>1646</v>
      </c>
      <c r="AW5" s="188">
        <f t="shared" si="12"/>
        <v>2246</v>
      </c>
      <c r="AX5" s="193">
        <f t="shared" si="13"/>
        <v>2432</v>
      </c>
      <c r="AY5" s="174">
        <f>+SUMIFS($X$4:$X$36,$E$4:$E$36,AE5)/AX5</f>
        <v>0.43544407894736842</v>
      </c>
      <c r="AZ5" s="180">
        <f>SUMIFS($Y$4:$Y$36,$E$4:$E$36,AE5)/AX5</f>
        <v>0.56455592105263153</v>
      </c>
      <c r="BA5" s="183">
        <f t="shared" ref="BA5:BA17" si="14">+SUMIFS($S$4:$S$36,$E$4:$E$36,AE5)</f>
        <v>1211</v>
      </c>
      <c r="BB5" s="189">
        <f t="shared" ref="BB5:BB17" si="15">+SUMIFS($T$4:$T$36,$E$4:$E$36,AE5)</f>
        <v>11640.3</v>
      </c>
      <c r="BC5" s="193">
        <f t="shared" ref="BC5:BC17" si="16">+SUMIFS($Z$4:$Z$36,$E$4:$E$36,AE5)</f>
        <v>271</v>
      </c>
      <c r="BD5" s="198">
        <f t="shared" ref="BD5:BD17" si="17">+SUMIFS($AA$4:$AA$36,$E$4:$E$36,AE5)</f>
        <v>210</v>
      </c>
      <c r="BE5" s="198">
        <f t="shared" ref="BE5:BE17" si="18">+SUMIFS($AB$4:$AB$36,$E$4:$E$36,AE5)</f>
        <v>8500</v>
      </c>
      <c r="BJ5" s="188" t="s">
        <v>457</v>
      </c>
      <c r="BK5" s="173">
        <f>+SUMIFS($O$4:$O$36,$N$4:$N$36,BJ5)</f>
        <v>87183.840520549988</v>
      </c>
      <c r="BL5" s="174">
        <f>+BK5/$BK$6</f>
        <v>0.35182394617231239</v>
      </c>
      <c r="BM5" s="173">
        <f>+SUMIFS($O$4:$O$36,$N$4:$N$36,BJ5,$L$4:$L$36,$BM$3)</f>
        <v>22270.96826397</v>
      </c>
      <c r="BN5" s="174">
        <f>+BM5/$BM$6</f>
        <v>0.77393082587105222</v>
      </c>
      <c r="BO5" s="173">
        <f>+SUMIFS($O$4:$O$36,$N$4:$N$36,BJ5,$L$4:$L$36,$BO$3)</f>
        <v>64912.872256579998</v>
      </c>
      <c r="BP5" s="180">
        <f>+BO5/$BO$6</f>
        <v>0.2963667362901885</v>
      </c>
      <c r="BQ5" s="205">
        <f>+COUNTIFS($N$4:$N$36,BJ5)</f>
        <v>10</v>
      </c>
      <c r="BR5" s="16">
        <f>+COUNTIFS($N$4:$N$36,BJ5,$L$4:$L$36,$BM$3)</f>
        <v>2</v>
      </c>
      <c r="BS5" s="188">
        <f>+COUNTIFS($N$4:$N$36,BJ5,$L$4:$L$36,$BO$3)</f>
        <v>8</v>
      </c>
      <c r="BT5" s="193">
        <f>+SUMIFS($Q$4:$Q$36,$N$4:$N$36,BJ5)</f>
        <v>692</v>
      </c>
      <c r="BU5" s="174">
        <f>+BT5/BT6</f>
        <v>0.28785357737104827</v>
      </c>
      <c r="BV5" s="16">
        <f>+SUMIFS($V$4:$V$36,$N$4:$N$36,BJ5)</f>
        <v>337</v>
      </c>
      <c r="BW5" s="174">
        <f>+BV5/BV6</f>
        <v>0.53833865814696491</v>
      </c>
      <c r="BX5" s="16">
        <f>+SUMIFS($W$4:$W$36,$N$4:$N$36,BJ5)</f>
        <v>85</v>
      </c>
      <c r="BY5" s="174">
        <f>+BX5/BX6</f>
        <v>0.53797468354430378</v>
      </c>
      <c r="BZ5" s="190">
        <f>+BT5+BV5+BX5</f>
        <v>1114</v>
      </c>
      <c r="CA5" s="180">
        <f>+BZ5/BZ6</f>
        <v>0.34943538268506902</v>
      </c>
      <c r="CB5" s="44">
        <f>+SUMIFS($P$4:$P$36,$N$4:$N$36,BJ5)</f>
        <v>5409</v>
      </c>
      <c r="CC5" s="174">
        <f>+CB5/CB6</f>
        <v>0.29965098886488284</v>
      </c>
      <c r="CD5" s="44">
        <f>+SUMIFS($U$4:$U$36,$N$4:$N$36,BJ5)</f>
        <v>5200</v>
      </c>
      <c r="CE5" s="174">
        <f>+CD5/CD6</f>
        <v>0.43591248218626877</v>
      </c>
      <c r="CF5" s="44">
        <f>+SUMIFS($X$4:$X$36,$N$4:$N$36,BJ5)</f>
        <v>7102</v>
      </c>
      <c r="CG5" s="174">
        <f>+CF5/CF6</f>
        <v>0.37531046874174284</v>
      </c>
      <c r="CH5" s="44">
        <f>+SUMIFS($Y$4:$Y$36,$N$4:$N$36,BJ5)</f>
        <v>6714</v>
      </c>
      <c r="CI5" s="180">
        <f>+CH5/CH6</f>
        <v>0.38400823610157858</v>
      </c>
      <c r="CJ5" s="44">
        <f>+SUMIFS($Z$4:$Z$36,$N$4:$N$36,BJ5)</f>
        <v>1755</v>
      </c>
      <c r="CK5" s="191">
        <f>+CJ5/CJ6</f>
        <v>0.32048940832724615</v>
      </c>
      <c r="CL5" s="44">
        <f>+SUMIFS($AA$4:$AA$36,$N$4:$N$36,BJ5)</f>
        <v>633</v>
      </c>
      <c r="CM5" s="180">
        <f>+CL5/CL6</f>
        <v>0.31029411764705883</v>
      </c>
      <c r="CN5" s="44">
        <f>+SUMIFS($AB$4:$AB$36,$N$4:$N$36,BJ5)</f>
        <v>62087</v>
      </c>
      <c r="CO5" s="180">
        <f>+CN5/CN6</f>
        <v>0.38757623616512582</v>
      </c>
    </row>
    <row r="6" spans="1:93" s="16" customFormat="1" ht="55.2" x14ac:dyDescent="0.3">
      <c r="B6" s="6">
        <f t="shared" ref="B6:B36" si="19">+B5+1</f>
        <v>3</v>
      </c>
      <c r="C6" s="18" t="s">
        <v>461</v>
      </c>
      <c r="D6" s="11" t="s">
        <v>379</v>
      </c>
      <c r="E6" s="6" t="s">
        <v>396</v>
      </c>
      <c r="F6" s="19" t="s">
        <v>22</v>
      </c>
      <c r="G6" s="10" t="s">
        <v>23</v>
      </c>
      <c r="H6" s="10">
        <v>44323</v>
      </c>
      <c r="I6" s="10">
        <v>44454</v>
      </c>
      <c r="J6" s="17" t="s">
        <v>26</v>
      </c>
      <c r="K6" s="6" t="s">
        <v>385</v>
      </c>
      <c r="L6" s="20" t="s">
        <v>455</v>
      </c>
      <c r="M6" s="77" t="s">
        <v>557</v>
      </c>
      <c r="N6" s="20" t="s">
        <v>456</v>
      </c>
      <c r="O6" s="51">
        <v>6241.9161365</v>
      </c>
      <c r="P6" s="15">
        <v>320</v>
      </c>
      <c r="Q6" s="20">
        <v>30</v>
      </c>
      <c r="R6" s="30" t="s">
        <v>383</v>
      </c>
      <c r="S6" s="25">
        <v>667</v>
      </c>
      <c r="T6" s="25">
        <v>1486</v>
      </c>
      <c r="U6" s="15">
        <v>192</v>
      </c>
      <c r="V6" s="20">
        <v>8</v>
      </c>
      <c r="W6" s="20">
        <v>1</v>
      </c>
      <c r="X6" s="20">
        <v>174</v>
      </c>
      <c r="Y6" s="20">
        <v>166</v>
      </c>
      <c r="Z6" s="20">
        <v>82</v>
      </c>
      <c r="AA6" s="20">
        <v>47</v>
      </c>
      <c r="AB6" s="20">
        <v>2800</v>
      </c>
      <c r="AE6" s="16" t="s">
        <v>398</v>
      </c>
      <c r="AF6" s="183">
        <f t="shared" si="0"/>
        <v>28331.191491999998</v>
      </c>
      <c r="AG6" s="180">
        <f t="shared" si="1"/>
        <v>0.11432842979805916</v>
      </c>
      <c r="AH6" s="183">
        <f t="shared" si="2"/>
        <v>28331.191491999998</v>
      </c>
      <c r="AI6" s="180">
        <f>+AH6/AF6</f>
        <v>1</v>
      </c>
      <c r="AJ6" s="183">
        <f t="shared" si="3"/>
        <v>0</v>
      </c>
      <c r="AK6" s="180">
        <f>+AJ6/AF6</f>
        <v>0</v>
      </c>
      <c r="AL6" s="183">
        <f t="shared" si="4"/>
        <v>0</v>
      </c>
      <c r="AM6" s="180">
        <f>+AL6/AF6</f>
        <v>0</v>
      </c>
      <c r="AN6" s="183">
        <f>+SUMIFS($O$4:$O$36,$E$4:$E$36,AE6,$L$4:$L$36,$L$10)</f>
        <v>28331.191491999998</v>
      </c>
      <c r="AO6" s="180">
        <f>+AN6/AF6</f>
        <v>1</v>
      </c>
      <c r="AP6" s="205">
        <f t="shared" si="5"/>
        <v>190</v>
      </c>
      <c r="AQ6" s="16">
        <f t="shared" si="6"/>
        <v>89</v>
      </c>
      <c r="AR6" s="175">
        <f t="shared" si="7"/>
        <v>71</v>
      </c>
      <c r="AS6" s="184">
        <f t="shared" si="8"/>
        <v>18</v>
      </c>
      <c r="AT6" s="186">
        <f t="shared" si="9"/>
        <v>279</v>
      </c>
      <c r="AU6" s="16">
        <f t="shared" si="10"/>
        <v>1350</v>
      </c>
      <c r="AV6" s="188">
        <f t="shared" si="11"/>
        <v>1440</v>
      </c>
      <c r="AW6" s="188">
        <f t="shared" si="12"/>
        <v>2790</v>
      </c>
      <c r="AX6" s="193">
        <f t="shared" si="13"/>
        <v>2970</v>
      </c>
      <c r="AY6" s="174">
        <f>+SUMIFS($X$4:$X$36,$E$4:$E$36,AE6)/AX6</f>
        <v>0.48215488215488217</v>
      </c>
      <c r="AZ6" s="180">
        <f>SUMIFS($Y$4:$Y$36,$E$4:$E$36,AE6)/AX6</f>
        <v>0.51784511784511789</v>
      </c>
      <c r="BA6" s="183">
        <f t="shared" si="14"/>
        <v>5486.79</v>
      </c>
      <c r="BB6" s="189">
        <f t="shared" si="15"/>
        <v>10565.52</v>
      </c>
      <c r="BC6" s="193">
        <f t="shared" si="16"/>
        <v>516</v>
      </c>
      <c r="BD6" s="198">
        <f t="shared" si="17"/>
        <v>158</v>
      </c>
      <c r="BE6" s="198">
        <f t="shared" si="18"/>
        <v>14438</v>
      </c>
      <c r="BK6" s="202">
        <f>+SUM(BK4:BK5)</f>
        <v>247805.30566231004</v>
      </c>
      <c r="BM6" s="202">
        <f>+SUM(BM4:BM5)</f>
        <v>28776.432620970001</v>
      </c>
      <c r="BO6" s="202">
        <f>+SUM(BO4:BO5)</f>
        <v>219028.87304134003</v>
      </c>
      <c r="BQ6" s="207">
        <f t="shared" ref="BQ6:BS6" si="20">+SUM(BQ4:BQ5)</f>
        <v>33</v>
      </c>
      <c r="BR6" s="207">
        <f t="shared" si="20"/>
        <v>3</v>
      </c>
      <c r="BS6" s="207">
        <f t="shared" si="20"/>
        <v>30</v>
      </c>
      <c r="BT6" s="207">
        <f>+SUM(BT4:BT5)</f>
        <v>2404</v>
      </c>
      <c r="BV6" s="207">
        <f>+SUM(BV4:BV5)</f>
        <v>626</v>
      </c>
      <c r="BX6" s="207">
        <f>+SUM(BX4:BX5)</f>
        <v>158</v>
      </c>
      <c r="BZ6" s="207">
        <f>+SUM(BZ4:BZ5)</f>
        <v>3188</v>
      </c>
      <c r="CB6" s="195">
        <f>+SUM(CB4:CB5)</f>
        <v>18051</v>
      </c>
      <c r="CD6" s="195">
        <f>+SUM(CD4:CD5)</f>
        <v>11929</v>
      </c>
      <c r="CF6" s="195">
        <f>+SUM(CF4:CF5)</f>
        <v>18923</v>
      </c>
      <c r="CH6" s="195">
        <f>+SUM(CH4:CH5)</f>
        <v>17484</v>
      </c>
      <c r="CJ6" s="195">
        <f>+SUM(CJ4:CJ5)</f>
        <v>5476</v>
      </c>
      <c r="CL6" s="195">
        <f>+SUM(CL4:CL5)</f>
        <v>2040</v>
      </c>
      <c r="CN6" s="195">
        <f>+SUM(CN4:CN5)</f>
        <v>160193</v>
      </c>
    </row>
    <row r="7" spans="1:93" s="167" customFormat="1" ht="55.2" x14ac:dyDescent="0.3">
      <c r="A7" s="16"/>
      <c r="B7" s="6">
        <f t="shared" si="19"/>
        <v>4</v>
      </c>
      <c r="C7" s="21" t="s">
        <v>462</v>
      </c>
      <c r="D7" s="11" t="s">
        <v>379</v>
      </c>
      <c r="E7" s="6" t="s">
        <v>396</v>
      </c>
      <c r="F7" s="9" t="s">
        <v>49</v>
      </c>
      <c r="G7" s="6" t="s">
        <v>35</v>
      </c>
      <c r="H7" s="10">
        <v>44328</v>
      </c>
      <c r="I7" s="10">
        <v>44472</v>
      </c>
      <c r="J7" s="17" t="s">
        <v>27</v>
      </c>
      <c r="K7" s="6" t="s">
        <v>385</v>
      </c>
      <c r="L7" s="20" t="s">
        <v>455</v>
      </c>
      <c r="M7" s="77" t="s">
        <v>558</v>
      </c>
      <c r="N7" s="20" t="s">
        <v>456</v>
      </c>
      <c r="O7" s="51">
        <v>9454.0926014499983</v>
      </c>
      <c r="P7" s="13">
        <v>936</v>
      </c>
      <c r="Q7" s="13">
        <v>85</v>
      </c>
      <c r="R7" s="30" t="s">
        <v>383</v>
      </c>
      <c r="S7" s="14">
        <v>2991</v>
      </c>
      <c r="T7" s="14">
        <v>3646</v>
      </c>
      <c r="U7" s="15">
        <v>330</v>
      </c>
      <c r="V7" s="13">
        <v>12</v>
      </c>
      <c r="W7" s="13">
        <v>4</v>
      </c>
      <c r="X7" s="13">
        <v>551</v>
      </c>
      <c r="Y7" s="13">
        <v>508</v>
      </c>
      <c r="Z7" s="13">
        <v>100</v>
      </c>
      <c r="AA7" s="13">
        <v>43</v>
      </c>
      <c r="AB7" s="20">
        <v>2453</v>
      </c>
      <c r="AC7" s="16"/>
      <c r="AD7" s="16"/>
      <c r="AE7" s="3" t="s">
        <v>388</v>
      </c>
      <c r="AF7" s="183">
        <f t="shared" si="0"/>
        <v>7659.6151689999997</v>
      </c>
      <c r="AG7" s="180">
        <f t="shared" si="1"/>
        <v>3.0909811024942033E-2</v>
      </c>
      <c r="AH7" s="183">
        <f t="shared" si="2"/>
        <v>7659.6151689999997</v>
      </c>
      <c r="AI7" s="180">
        <f>+AH7/AF7</f>
        <v>1</v>
      </c>
      <c r="AJ7" s="183">
        <f t="shared" si="3"/>
        <v>0</v>
      </c>
      <c r="AK7" s="180">
        <f>+AJ7/AF7</f>
        <v>0</v>
      </c>
      <c r="AL7" s="183">
        <f t="shared" si="4"/>
        <v>0</v>
      </c>
      <c r="AM7" s="180">
        <f>+AL7/AF7</f>
        <v>0</v>
      </c>
      <c r="AN7" s="183">
        <f>+SUMIFS($O$4:$O$36,$E$4:$E$36,AE7,$L$4:$L$36,$L$10)</f>
        <v>7659.6151689999997</v>
      </c>
      <c r="AO7" s="180">
        <f>+AN7/AF7</f>
        <v>1</v>
      </c>
      <c r="AP7" s="205">
        <f t="shared" si="5"/>
        <v>72</v>
      </c>
      <c r="AQ7" s="16">
        <f t="shared" si="6"/>
        <v>1</v>
      </c>
      <c r="AR7" s="175">
        <f t="shared" si="7"/>
        <v>0</v>
      </c>
      <c r="AS7" s="184">
        <f t="shared" si="8"/>
        <v>1</v>
      </c>
      <c r="AT7" s="186">
        <f t="shared" si="9"/>
        <v>73</v>
      </c>
      <c r="AU7" s="16">
        <f t="shared" si="10"/>
        <v>700</v>
      </c>
      <c r="AV7" s="188">
        <f t="shared" si="11"/>
        <v>0</v>
      </c>
      <c r="AW7" s="188">
        <f t="shared" si="12"/>
        <v>700</v>
      </c>
      <c r="AX7" s="193">
        <f t="shared" si="13"/>
        <v>700</v>
      </c>
      <c r="AY7" s="174">
        <f>+SUMIFS($X$4:$X$36,$E$4:$E$36,AE7)/AX7</f>
        <v>0.52714285714285714</v>
      </c>
      <c r="AZ7" s="180">
        <f>SUMIFS($Y$4:$Y$36,$E$4:$E$36,AE7)/AX7</f>
        <v>0.47285714285714286</v>
      </c>
      <c r="BA7" s="183">
        <f t="shared" si="14"/>
        <v>1700</v>
      </c>
      <c r="BB7" s="189">
        <f t="shared" si="15"/>
        <v>1700</v>
      </c>
      <c r="BC7" s="193">
        <f t="shared" si="16"/>
        <v>65</v>
      </c>
      <c r="BD7" s="198">
        <f t="shared" si="17"/>
        <v>30</v>
      </c>
      <c r="BE7" s="198">
        <f t="shared" si="18"/>
        <v>4811</v>
      </c>
      <c r="BF7" s="16"/>
      <c r="BG7" s="16"/>
      <c r="BH7" s="16"/>
      <c r="BI7" s="16"/>
      <c r="BJ7" s="16"/>
      <c r="BK7" s="167" t="b">
        <f>+BK6=O37</f>
        <v>1</v>
      </c>
      <c r="BM7" s="167" t="b">
        <f>+BM6=AL18</f>
        <v>1</v>
      </c>
      <c r="BO7" s="167" t="b">
        <f>+BO6=AN18</f>
        <v>1</v>
      </c>
      <c r="BQ7" s="167" t="b">
        <f>+BQ6=B36</f>
        <v>1</v>
      </c>
      <c r="BT7" s="167" t="b">
        <f>+BT6=Q37</f>
        <v>1</v>
      </c>
      <c r="BV7" s="167" t="b">
        <f>+BV6=V37</f>
        <v>1</v>
      </c>
      <c r="BX7" s="167" t="b">
        <f>+BX6=W37</f>
        <v>1</v>
      </c>
      <c r="BZ7" s="167" t="b">
        <f>+BZ6=AT18</f>
        <v>1</v>
      </c>
      <c r="CB7" s="167" t="b">
        <f>+CB6=P37</f>
        <v>1</v>
      </c>
      <c r="CD7" s="167" t="b">
        <f>+CD6=U37</f>
        <v>1</v>
      </c>
      <c r="CF7" s="167" t="b">
        <f>+CF6=X37</f>
        <v>1</v>
      </c>
      <c r="CH7" s="167" t="b">
        <f>+CH6=Y37</f>
        <v>1</v>
      </c>
      <c r="CJ7" s="167" t="b">
        <f>+CJ6=Z37</f>
        <v>1</v>
      </c>
      <c r="CL7" s="167" t="b">
        <f>+CL6=AA37</f>
        <v>1</v>
      </c>
      <c r="CN7" s="167" t="b">
        <f>+CN6=AB37</f>
        <v>1</v>
      </c>
    </row>
    <row r="8" spans="1:93" s="16" customFormat="1" ht="55.2" x14ac:dyDescent="0.3">
      <c r="B8" s="6">
        <f t="shared" si="19"/>
        <v>5</v>
      </c>
      <c r="C8" s="7" t="s">
        <v>463</v>
      </c>
      <c r="D8" s="11" t="s">
        <v>379</v>
      </c>
      <c r="E8" s="6" t="s">
        <v>396</v>
      </c>
      <c r="F8" s="9" t="s">
        <v>33</v>
      </c>
      <c r="G8" s="6" t="s">
        <v>34</v>
      </c>
      <c r="H8" s="10">
        <v>44350</v>
      </c>
      <c r="I8" s="10">
        <v>44490</v>
      </c>
      <c r="J8" s="17" t="s">
        <v>28</v>
      </c>
      <c r="K8" s="6" t="s">
        <v>385</v>
      </c>
      <c r="L8" s="20" t="s">
        <v>455</v>
      </c>
      <c r="M8" s="77" t="s">
        <v>559</v>
      </c>
      <c r="N8" s="20" t="s">
        <v>456</v>
      </c>
      <c r="O8" s="51">
        <v>6581.4709765500002</v>
      </c>
      <c r="P8" s="13">
        <v>810</v>
      </c>
      <c r="Q8" s="13">
        <v>51</v>
      </c>
      <c r="R8" s="30" t="s">
        <v>382</v>
      </c>
      <c r="S8" s="14">
        <v>3059.49</v>
      </c>
      <c r="T8" s="14">
        <v>1921.85</v>
      </c>
      <c r="U8" s="15">
        <v>0</v>
      </c>
      <c r="V8" s="13">
        <v>12</v>
      </c>
      <c r="W8" s="13">
        <v>2</v>
      </c>
      <c r="X8" s="13">
        <v>344</v>
      </c>
      <c r="Y8" s="13">
        <v>352</v>
      </c>
      <c r="Z8" s="13">
        <v>172</v>
      </c>
      <c r="AA8" s="13">
        <v>64</v>
      </c>
      <c r="AB8" s="20">
        <v>2500</v>
      </c>
      <c r="AE8" s="3" t="s">
        <v>389</v>
      </c>
      <c r="AF8" s="183">
        <f t="shared" si="0"/>
        <v>0</v>
      </c>
      <c r="AG8" s="181">
        <f t="shared" si="1"/>
        <v>0</v>
      </c>
      <c r="AH8" s="183">
        <f t="shared" si="2"/>
        <v>0</v>
      </c>
      <c r="AI8" s="181">
        <v>0</v>
      </c>
      <c r="AJ8" s="183">
        <f t="shared" si="3"/>
        <v>0</v>
      </c>
      <c r="AK8" s="181">
        <v>0</v>
      </c>
      <c r="AL8" s="183">
        <f t="shared" si="4"/>
        <v>0</v>
      </c>
      <c r="AM8" s="181">
        <v>0</v>
      </c>
      <c r="AN8" s="183">
        <v>0</v>
      </c>
      <c r="AO8" s="181">
        <v>0</v>
      </c>
      <c r="AP8" s="183">
        <f t="shared" si="5"/>
        <v>0</v>
      </c>
      <c r="AQ8" s="173">
        <f t="shared" si="6"/>
        <v>0</v>
      </c>
      <c r="AR8" s="176">
        <f t="shared" si="7"/>
        <v>0</v>
      </c>
      <c r="AS8" s="181">
        <f t="shared" si="8"/>
        <v>0</v>
      </c>
      <c r="AT8" s="187">
        <f t="shared" si="9"/>
        <v>0</v>
      </c>
      <c r="AU8" s="173">
        <f t="shared" si="10"/>
        <v>0</v>
      </c>
      <c r="AV8" s="189">
        <f t="shared" si="11"/>
        <v>0</v>
      </c>
      <c r="AW8" s="189">
        <f t="shared" si="12"/>
        <v>0</v>
      </c>
      <c r="AX8" s="193">
        <f t="shared" si="13"/>
        <v>0</v>
      </c>
      <c r="AY8" s="176">
        <v>0</v>
      </c>
      <c r="AZ8" s="181">
        <v>0</v>
      </c>
      <c r="BA8" s="183">
        <f t="shared" si="14"/>
        <v>0</v>
      </c>
      <c r="BB8" s="189">
        <f t="shared" si="15"/>
        <v>0</v>
      </c>
      <c r="BC8" s="193">
        <f t="shared" si="16"/>
        <v>0</v>
      </c>
      <c r="BD8" s="198">
        <f t="shared" si="17"/>
        <v>0</v>
      </c>
      <c r="BE8" s="198">
        <f t="shared" si="18"/>
        <v>0</v>
      </c>
    </row>
    <row r="9" spans="1:93" s="16" customFormat="1" ht="55.2" x14ac:dyDescent="0.3">
      <c r="B9" s="6">
        <f t="shared" si="19"/>
        <v>6</v>
      </c>
      <c r="C9" s="7" t="s">
        <v>464</v>
      </c>
      <c r="D9" s="11" t="s">
        <v>379</v>
      </c>
      <c r="E9" s="6" t="s">
        <v>396</v>
      </c>
      <c r="F9" s="9" t="s">
        <v>44</v>
      </c>
      <c r="G9" s="96" t="s">
        <v>50</v>
      </c>
      <c r="H9" s="10">
        <v>44308</v>
      </c>
      <c r="I9" s="10">
        <v>44423</v>
      </c>
      <c r="J9" s="17" t="s">
        <v>29</v>
      </c>
      <c r="K9" s="6" t="s">
        <v>385</v>
      </c>
      <c r="L9" s="20" t="s">
        <v>455</v>
      </c>
      <c r="M9" s="77" t="s">
        <v>560</v>
      </c>
      <c r="N9" s="20" t="s">
        <v>457</v>
      </c>
      <c r="O9" s="51">
        <v>8300.9719581499994</v>
      </c>
      <c r="P9" s="13">
        <v>110</v>
      </c>
      <c r="Q9" s="13">
        <v>35</v>
      </c>
      <c r="R9" s="30" t="s">
        <v>382</v>
      </c>
      <c r="S9" s="14">
        <v>1532</v>
      </c>
      <c r="T9" s="14">
        <v>1532</v>
      </c>
      <c r="U9" s="15">
        <v>0</v>
      </c>
      <c r="V9" s="13">
        <v>0</v>
      </c>
      <c r="W9" s="13">
        <v>0</v>
      </c>
      <c r="X9" s="13">
        <v>71</v>
      </c>
      <c r="Y9" s="13">
        <v>51</v>
      </c>
      <c r="Z9" s="13">
        <v>14</v>
      </c>
      <c r="AA9" s="13">
        <v>7</v>
      </c>
      <c r="AB9" s="20">
        <v>677</v>
      </c>
      <c r="AE9" s="3" t="s">
        <v>397</v>
      </c>
      <c r="AF9" s="183">
        <f t="shared" si="0"/>
        <v>19715.020340470001</v>
      </c>
      <c r="AG9" s="180">
        <f t="shared" si="1"/>
        <v>7.9558507788110536E-2</v>
      </c>
      <c r="AH9" s="183">
        <f t="shared" si="2"/>
        <v>19715.020340470001</v>
      </c>
      <c r="AI9" s="180">
        <f t="shared" ref="AI9:AI14" si="21">+AH9/AF9</f>
        <v>1</v>
      </c>
      <c r="AJ9" s="183">
        <f t="shared" si="3"/>
        <v>0</v>
      </c>
      <c r="AK9" s="180">
        <f t="shared" ref="AK9:AK14" si="22">+AJ9/AF9</f>
        <v>0</v>
      </c>
      <c r="AL9" s="183">
        <f t="shared" si="4"/>
        <v>0</v>
      </c>
      <c r="AM9" s="180">
        <f t="shared" ref="AM9:AM14" si="23">+AL9/AF9</f>
        <v>0</v>
      </c>
      <c r="AN9" s="183">
        <f t="shared" ref="AN9:AN17" si="24">+SUMIFS($O$4:$O$36,$E$4:$E$36,AE9,$L$4:$L$36,$L$10)</f>
        <v>19715.020340470001</v>
      </c>
      <c r="AO9" s="180">
        <f t="shared" ref="AO9:AO14" si="25">+AN9/AF9</f>
        <v>1</v>
      </c>
      <c r="AP9" s="205">
        <f t="shared" si="5"/>
        <v>289</v>
      </c>
      <c r="AQ9" s="16">
        <f t="shared" si="6"/>
        <v>9</v>
      </c>
      <c r="AR9" s="175">
        <f t="shared" si="7"/>
        <v>6</v>
      </c>
      <c r="AS9" s="184">
        <f t="shared" si="8"/>
        <v>3</v>
      </c>
      <c r="AT9" s="186">
        <f t="shared" si="9"/>
        <v>298</v>
      </c>
      <c r="AU9" s="16">
        <f t="shared" si="10"/>
        <v>1772</v>
      </c>
      <c r="AV9" s="188">
        <f t="shared" si="11"/>
        <v>822</v>
      </c>
      <c r="AW9" s="188">
        <f t="shared" si="12"/>
        <v>2594</v>
      </c>
      <c r="AX9" s="193">
        <f t="shared" si="13"/>
        <v>3075</v>
      </c>
      <c r="AY9" s="174">
        <f t="shared" ref="AY9:AY14" si="26">+SUMIFS($X$4:$X$36,$E$4:$E$36,AE9)/AX9</f>
        <v>0.51739837398373989</v>
      </c>
      <c r="AZ9" s="180">
        <f t="shared" ref="AZ9:AZ14" si="27">SUMIFS($Y$4:$Y$36,$E$4:$E$36,AE9)/AX9</f>
        <v>0.48260162601626017</v>
      </c>
      <c r="BA9" s="183">
        <f t="shared" si="14"/>
        <v>6675.6</v>
      </c>
      <c r="BB9" s="189">
        <f t="shared" si="15"/>
        <v>10708.32</v>
      </c>
      <c r="BC9" s="193">
        <f t="shared" si="16"/>
        <v>675</v>
      </c>
      <c r="BD9" s="198">
        <f t="shared" si="17"/>
        <v>212</v>
      </c>
      <c r="BE9" s="198">
        <f t="shared" si="18"/>
        <v>10959</v>
      </c>
    </row>
    <row r="10" spans="1:93" ht="87" customHeight="1" x14ac:dyDescent="0.3">
      <c r="B10" s="6">
        <f t="shared" si="19"/>
        <v>7</v>
      </c>
      <c r="C10" s="17" t="s">
        <v>465</v>
      </c>
      <c r="D10" s="11" t="s">
        <v>379</v>
      </c>
      <c r="E10" s="6" t="s">
        <v>387</v>
      </c>
      <c r="F10" s="11" t="s">
        <v>58</v>
      </c>
      <c r="G10" s="11" t="s">
        <v>59</v>
      </c>
      <c r="H10" s="29">
        <v>43850</v>
      </c>
      <c r="I10" s="29">
        <v>44216</v>
      </c>
      <c r="J10" s="17" t="s">
        <v>60</v>
      </c>
      <c r="K10" s="6" t="s">
        <v>385</v>
      </c>
      <c r="L10" s="20" t="s">
        <v>455</v>
      </c>
      <c r="M10" s="77" t="s">
        <v>561</v>
      </c>
      <c r="N10" s="20" t="s">
        <v>457</v>
      </c>
      <c r="O10" s="51">
        <v>11572.034</v>
      </c>
      <c r="P10" s="30">
        <v>600</v>
      </c>
      <c r="Q10" s="30">
        <v>50</v>
      </c>
      <c r="R10" s="30" t="s">
        <v>383</v>
      </c>
      <c r="S10" s="31">
        <v>1211</v>
      </c>
      <c r="T10" s="31">
        <v>3659</v>
      </c>
      <c r="U10" s="30">
        <v>1310</v>
      </c>
      <c r="V10" s="30">
        <v>98</v>
      </c>
      <c r="W10" s="30">
        <v>28</v>
      </c>
      <c r="X10" s="30">
        <v>828</v>
      </c>
      <c r="Y10" s="30">
        <v>1242</v>
      </c>
      <c r="Z10" s="34">
        <v>230</v>
      </c>
      <c r="AA10" s="20">
        <v>189</v>
      </c>
      <c r="AB10" s="30">
        <v>7355</v>
      </c>
      <c r="AC10" s="32"/>
      <c r="AE10" s="3" t="s">
        <v>391</v>
      </c>
      <c r="AF10" s="183">
        <f t="shared" si="0"/>
        <v>38220.341803000003</v>
      </c>
      <c r="AG10" s="180">
        <f t="shared" si="1"/>
        <v>0.15423536514219655</v>
      </c>
      <c r="AH10" s="183">
        <f t="shared" si="2"/>
        <v>14462.204135</v>
      </c>
      <c r="AI10" s="180">
        <f t="shared" si="21"/>
        <v>0.37839023548096129</v>
      </c>
      <c r="AJ10" s="183">
        <f t="shared" si="3"/>
        <v>23758.137667999999</v>
      </c>
      <c r="AK10" s="180">
        <f t="shared" si="22"/>
        <v>0.6216097645190386</v>
      </c>
      <c r="AL10" s="183">
        <f t="shared" si="4"/>
        <v>16204.841998</v>
      </c>
      <c r="AM10" s="180">
        <f t="shared" si="23"/>
        <v>0.42398474826638111</v>
      </c>
      <c r="AN10" s="183">
        <f t="shared" si="24"/>
        <v>22015.499804999999</v>
      </c>
      <c r="AO10" s="180">
        <f t="shared" si="25"/>
        <v>0.57601525173361878</v>
      </c>
      <c r="AP10" s="205">
        <f t="shared" si="5"/>
        <v>295</v>
      </c>
      <c r="AQ10" s="16">
        <f t="shared" si="6"/>
        <v>89</v>
      </c>
      <c r="AR10" s="175">
        <f t="shared" si="7"/>
        <v>68</v>
      </c>
      <c r="AS10" s="184">
        <f t="shared" si="8"/>
        <v>21</v>
      </c>
      <c r="AT10" s="186">
        <f t="shared" si="9"/>
        <v>384</v>
      </c>
      <c r="AU10" s="16">
        <f t="shared" si="10"/>
        <v>2234</v>
      </c>
      <c r="AV10" s="188">
        <f t="shared" si="11"/>
        <v>1620</v>
      </c>
      <c r="AW10" s="188">
        <f t="shared" si="12"/>
        <v>3854</v>
      </c>
      <c r="AX10" s="193">
        <f t="shared" si="13"/>
        <v>5298</v>
      </c>
      <c r="AY10" s="174">
        <f t="shared" si="26"/>
        <v>0.52661381653454131</v>
      </c>
      <c r="AZ10" s="180">
        <f t="shared" si="27"/>
        <v>0.47338618346545869</v>
      </c>
      <c r="BA10" s="183">
        <f t="shared" si="14"/>
        <v>10473</v>
      </c>
      <c r="BB10" s="189">
        <f t="shared" si="15"/>
        <v>22848</v>
      </c>
      <c r="BC10" s="193">
        <f t="shared" si="16"/>
        <v>583</v>
      </c>
      <c r="BD10" s="198">
        <f t="shared" si="17"/>
        <v>129</v>
      </c>
      <c r="BE10" s="198">
        <f t="shared" si="18"/>
        <v>15864</v>
      </c>
      <c r="BI10" s="16"/>
      <c r="BJ10" s="16"/>
      <c r="BK10" s="16"/>
      <c r="BL10" s="16"/>
      <c r="BM10" s="16"/>
      <c r="BN10" s="16"/>
      <c r="BO10" s="16"/>
      <c r="BP10" s="16"/>
      <c r="BQ10" s="16"/>
      <c r="BR10" s="16"/>
      <c r="BS10" s="16"/>
      <c r="BT10" s="16"/>
    </row>
    <row r="11" spans="1:93" ht="126.45" customHeight="1" x14ac:dyDescent="0.3">
      <c r="B11" s="6">
        <f t="shared" si="19"/>
        <v>8</v>
      </c>
      <c r="C11" s="17" t="s">
        <v>466</v>
      </c>
      <c r="D11" s="11" t="s">
        <v>379</v>
      </c>
      <c r="E11" s="6" t="s">
        <v>387</v>
      </c>
      <c r="F11" s="11" t="s">
        <v>61</v>
      </c>
      <c r="G11" s="11" t="s">
        <v>62</v>
      </c>
      <c r="H11" s="29">
        <v>44256</v>
      </c>
      <c r="I11" s="29">
        <v>44440</v>
      </c>
      <c r="J11" s="17" t="s">
        <v>63</v>
      </c>
      <c r="K11" s="6" t="s">
        <v>385</v>
      </c>
      <c r="L11" s="20" t="s">
        <v>458</v>
      </c>
      <c r="M11" s="77" t="s">
        <v>562</v>
      </c>
      <c r="N11" s="20" t="s">
        <v>457</v>
      </c>
      <c r="O11" s="51">
        <v>6066.1262659699996</v>
      </c>
      <c r="P11" s="34">
        <v>0</v>
      </c>
      <c r="Q11" s="34">
        <v>0</v>
      </c>
      <c r="R11" s="34" t="s">
        <v>381</v>
      </c>
      <c r="S11" s="115">
        <v>0</v>
      </c>
      <c r="T11" s="115">
        <v>7981.3</v>
      </c>
      <c r="U11" s="34">
        <v>336</v>
      </c>
      <c r="V11" s="34">
        <v>48</v>
      </c>
      <c r="W11" s="34">
        <v>13</v>
      </c>
      <c r="X11" s="34">
        <v>231</v>
      </c>
      <c r="Y11" s="34">
        <v>131</v>
      </c>
      <c r="Z11" s="34">
        <v>41</v>
      </c>
      <c r="AA11" s="34">
        <v>21</v>
      </c>
      <c r="AB11" s="34">
        <v>1145</v>
      </c>
      <c r="AC11" s="32"/>
      <c r="AE11" s="3" t="s">
        <v>390</v>
      </c>
      <c r="AF11" s="183">
        <f t="shared" si="0"/>
        <v>6089.4462309999999</v>
      </c>
      <c r="AG11" s="180">
        <f t="shared" si="1"/>
        <v>2.4573510299647213E-2</v>
      </c>
      <c r="AH11" s="183">
        <f t="shared" si="2"/>
        <v>6089.4462309999999</v>
      </c>
      <c r="AI11" s="180">
        <f t="shared" si="21"/>
        <v>1</v>
      </c>
      <c r="AJ11" s="183">
        <f t="shared" si="3"/>
        <v>0</v>
      </c>
      <c r="AK11" s="180">
        <f t="shared" si="22"/>
        <v>0</v>
      </c>
      <c r="AL11" s="183">
        <f t="shared" si="4"/>
        <v>0</v>
      </c>
      <c r="AM11" s="180">
        <f t="shared" si="23"/>
        <v>0</v>
      </c>
      <c r="AN11" s="183">
        <f t="shared" si="24"/>
        <v>6089.4462309999999</v>
      </c>
      <c r="AO11" s="180">
        <f t="shared" si="25"/>
        <v>1</v>
      </c>
      <c r="AP11" s="205">
        <f t="shared" si="5"/>
        <v>81</v>
      </c>
      <c r="AQ11" s="16">
        <f t="shared" si="6"/>
        <v>13</v>
      </c>
      <c r="AR11" s="175">
        <f t="shared" si="7"/>
        <v>10</v>
      </c>
      <c r="AS11" s="184">
        <f t="shared" si="8"/>
        <v>3</v>
      </c>
      <c r="AT11" s="186">
        <f t="shared" si="9"/>
        <v>94</v>
      </c>
      <c r="AU11" s="16">
        <f t="shared" si="10"/>
        <v>720</v>
      </c>
      <c r="AV11" s="188">
        <f t="shared" si="11"/>
        <v>330</v>
      </c>
      <c r="AW11" s="188">
        <f t="shared" si="12"/>
        <v>1050</v>
      </c>
      <c r="AX11" s="193">
        <f t="shared" si="13"/>
        <v>1348</v>
      </c>
      <c r="AY11" s="174">
        <f t="shared" si="26"/>
        <v>0.48961424332344211</v>
      </c>
      <c r="AZ11" s="180">
        <f t="shared" si="27"/>
        <v>0.51038575667655783</v>
      </c>
      <c r="BA11" s="183">
        <f t="shared" si="14"/>
        <v>2550</v>
      </c>
      <c r="BB11" s="189">
        <f t="shared" si="15"/>
        <v>2780</v>
      </c>
      <c r="BC11" s="193">
        <f t="shared" si="16"/>
        <v>224</v>
      </c>
      <c r="BD11" s="198">
        <f t="shared" si="17"/>
        <v>72</v>
      </c>
      <c r="BE11" s="198">
        <f t="shared" si="18"/>
        <v>3515</v>
      </c>
      <c r="BI11" s="16"/>
      <c r="BJ11" s="16"/>
      <c r="BK11" s="16"/>
      <c r="BL11" s="16"/>
      <c r="BM11" s="16"/>
      <c r="BN11" s="16"/>
      <c r="BO11" s="16"/>
      <c r="BP11" s="16"/>
      <c r="BQ11" s="16"/>
      <c r="BR11" s="16"/>
      <c r="BS11" s="16"/>
      <c r="BT11" s="16"/>
    </row>
    <row r="12" spans="1:93" ht="55.2" x14ac:dyDescent="0.3">
      <c r="B12" s="6">
        <f t="shared" si="19"/>
        <v>9</v>
      </c>
      <c r="C12" s="17" t="s">
        <v>467</v>
      </c>
      <c r="D12" s="11" t="s">
        <v>379</v>
      </c>
      <c r="E12" s="6" t="s">
        <v>390</v>
      </c>
      <c r="F12" s="11" t="s">
        <v>83</v>
      </c>
      <c r="G12" s="6" t="s">
        <v>84</v>
      </c>
      <c r="H12" s="10">
        <v>44313</v>
      </c>
      <c r="I12" s="10">
        <v>44425</v>
      </c>
      <c r="J12" s="17" t="s">
        <v>85</v>
      </c>
      <c r="K12" s="6" t="s">
        <v>385</v>
      </c>
      <c r="L12" s="20" t="s">
        <v>455</v>
      </c>
      <c r="M12" s="77" t="s">
        <v>563</v>
      </c>
      <c r="N12" s="20" t="s">
        <v>456</v>
      </c>
      <c r="O12" s="51">
        <v>6089.4462309999999</v>
      </c>
      <c r="P12" s="41">
        <v>720</v>
      </c>
      <c r="Q12" s="43">
        <v>81</v>
      </c>
      <c r="R12" s="30" t="s">
        <v>383</v>
      </c>
      <c r="S12" s="42">
        <v>2550</v>
      </c>
      <c r="T12" s="42">
        <v>2780</v>
      </c>
      <c r="U12" s="43">
        <v>330</v>
      </c>
      <c r="V12" s="43">
        <v>10</v>
      </c>
      <c r="W12" s="43">
        <v>3</v>
      </c>
      <c r="X12" s="13">
        <v>660</v>
      </c>
      <c r="Y12" s="13">
        <v>688</v>
      </c>
      <c r="Z12" s="13">
        <v>224</v>
      </c>
      <c r="AA12" s="13">
        <v>72</v>
      </c>
      <c r="AB12" s="41">
        <v>3515</v>
      </c>
      <c r="AC12" s="32"/>
      <c r="AE12" s="177" t="s">
        <v>399</v>
      </c>
      <c r="AF12" s="183">
        <f t="shared" si="0"/>
        <v>19970.334000000003</v>
      </c>
      <c r="AG12" s="180">
        <f t="shared" si="1"/>
        <v>8.0588807195331152E-2</v>
      </c>
      <c r="AH12" s="183">
        <f t="shared" si="2"/>
        <v>19970.334000000003</v>
      </c>
      <c r="AI12" s="180">
        <f t="shared" si="21"/>
        <v>1</v>
      </c>
      <c r="AJ12" s="183">
        <f t="shared" si="3"/>
        <v>0</v>
      </c>
      <c r="AK12" s="180">
        <f t="shared" si="22"/>
        <v>0</v>
      </c>
      <c r="AL12" s="183">
        <f t="shared" si="4"/>
        <v>0</v>
      </c>
      <c r="AM12" s="180">
        <f t="shared" si="23"/>
        <v>0</v>
      </c>
      <c r="AN12" s="183">
        <f t="shared" si="24"/>
        <v>19970.334000000003</v>
      </c>
      <c r="AO12" s="180">
        <f t="shared" si="25"/>
        <v>1</v>
      </c>
      <c r="AP12" s="205">
        <f t="shared" si="5"/>
        <v>400</v>
      </c>
      <c r="AQ12" s="16">
        <f t="shared" si="6"/>
        <v>74</v>
      </c>
      <c r="AR12" s="175">
        <f t="shared" si="7"/>
        <v>65</v>
      </c>
      <c r="AS12" s="184">
        <f t="shared" si="8"/>
        <v>9</v>
      </c>
      <c r="AT12" s="186">
        <f t="shared" si="9"/>
        <v>474</v>
      </c>
      <c r="AU12" s="16">
        <f t="shared" si="10"/>
        <v>2045</v>
      </c>
      <c r="AV12" s="188">
        <f t="shared" si="11"/>
        <v>920</v>
      </c>
      <c r="AW12" s="188">
        <f t="shared" si="12"/>
        <v>2965</v>
      </c>
      <c r="AX12" s="193">
        <f t="shared" si="13"/>
        <v>4127</v>
      </c>
      <c r="AY12" s="174">
        <f t="shared" si="26"/>
        <v>0.54785558517082622</v>
      </c>
      <c r="AZ12" s="180">
        <f t="shared" si="27"/>
        <v>0.45214441482917372</v>
      </c>
      <c r="BA12" s="183">
        <f t="shared" si="14"/>
        <v>10041.630000000001</v>
      </c>
      <c r="BB12" s="189">
        <f t="shared" si="15"/>
        <v>12761.34</v>
      </c>
      <c r="BC12" s="193">
        <f t="shared" si="16"/>
        <v>788</v>
      </c>
      <c r="BD12" s="198">
        <f t="shared" si="17"/>
        <v>335</v>
      </c>
      <c r="BE12" s="198">
        <f t="shared" si="18"/>
        <v>14285</v>
      </c>
      <c r="BI12" s="16"/>
      <c r="BJ12" s="16"/>
      <c r="BK12" s="16"/>
      <c r="BL12" s="16"/>
      <c r="BM12" s="16"/>
      <c r="BN12" s="16"/>
      <c r="BO12" s="16"/>
      <c r="BP12" s="16"/>
      <c r="BQ12" s="16"/>
      <c r="BR12" s="16"/>
      <c r="BS12" s="16"/>
      <c r="BT12" s="16"/>
    </row>
    <row r="13" spans="1:93" ht="69" x14ac:dyDescent="0.3">
      <c r="B13" s="6">
        <f t="shared" si="19"/>
        <v>10</v>
      </c>
      <c r="C13" s="21" t="s">
        <v>468</v>
      </c>
      <c r="D13" s="11" t="s">
        <v>379</v>
      </c>
      <c r="E13" s="6" t="s">
        <v>386</v>
      </c>
      <c r="F13" s="6" t="s">
        <v>92</v>
      </c>
      <c r="G13" s="6" t="s">
        <v>93</v>
      </c>
      <c r="H13" s="29">
        <v>44428</v>
      </c>
      <c r="I13" s="10">
        <v>40877</v>
      </c>
      <c r="J13" s="17" t="s">
        <v>94</v>
      </c>
      <c r="K13" s="6" t="s">
        <v>385</v>
      </c>
      <c r="L13" s="20" t="s">
        <v>458</v>
      </c>
      <c r="M13" s="77" t="s">
        <v>564</v>
      </c>
      <c r="N13" s="20" t="s">
        <v>456</v>
      </c>
      <c r="O13" s="51">
        <v>6505.4643569999998</v>
      </c>
      <c r="P13" s="30">
        <v>0</v>
      </c>
      <c r="Q13" s="30">
        <v>0</v>
      </c>
      <c r="R13" s="30" t="s">
        <v>381</v>
      </c>
      <c r="S13" s="31">
        <v>0</v>
      </c>
      <c r="T13" s="31">
        <v>5700</v>
      </c>
      <c r="U13" s="30">
        <v>315</v>
      </c>
      <c r="V13" s="30">
        <v>35</v>
      </c>
      <c r="W13" s="30">
        <v>12</v>
      </c>
      <c r="X13" s="30">
        <v>325</v>
      </c>
      <c r="Y13" s="30">
        <v>224</v>
      </c>
      <c r="Z13" s="30">
        <v>92</v>
      </c>
      <c r="AA13" s="30">
        <v>15</v>
      </c>
      <c r="AB13" s="30">
        <v>2137</v>
      </c>
      <c r="AE13" s="3" t="s">
        <v>392</v>
      </c>
      <c r="AF13" s="183">
        <f t="shared" si="0"/>
        <v>7298.2784580000007</v>
      </c>
      <c r="AG13" s="180">
        <f t="shared" si="1"/>
        <v>2.9451663427842556E-2</v>
      </c>
      <c r="AH13" s="183">
        <f t="shared" si="2"/>
        <v>7298.2784580000007</v>
      </c>
      <c r="AI13" s="180">
        <f t="shared" si="21"/>
        <v>1</v>
      </c>
      <c r="AJ13" s="183">
        <f t="shared" si="3"/>
        <v>0</v>
      </c>
      <c r="AK13" s="180">
        <f t="shared" si="22"/>
        <v>0</v>
      </c>
      <c r="AL13" s="183">
        <f t="shared" si="4"/>
        <v>0</v>
      </c>
      <c r="AM13" s="180">
        <f t="shared" si="23"/>
        <v>0</v>
      </c>
      <c r="AN13" s="183">
        <f t="shared" si="24"/>
        <v>7298.2784580000007</v>
      </c>
      <c r="AO13" s="180">
        <f t="shared" si="25"/>
        <v>1</v>
      </c>
      <c r="AP13" s="205">
        <f t="shared" si="5"/>
        <v>120</v>
      </c>
      <c r="AQ13" s="16">
        <f t="shared" si="6"/>
        <v>24</v>
      </c>
      <c r="AR13" s="175">
        <f t="shared" si="7"/>
        <v>22</v>
      </c>
      <c r="AS13" s="184">
        <f t="shared" si="8"/>
        <v>2</v>
      </c>
      <c r="AT13" s="186">
        <f t="shared" si="9"/>
        <v>144</v>
      </c>
      <c r="AU13" s="16">
        <f t="shared" si="10"/>
        <v>960</v>
      </c>
      <c r="AV13" s="188">
        <f t="shared" si="11"/>
        <v>360</v>
      </c>
      <c r="AW13" s="188">
        <f t="shared" si="12"/>
        <v>1320</v>
      </c>
      <c r="AX13" s="193">
        <f t="shared" si="13"/>
        <v>1797</v>
      </c>
      <c r="AY13" s="174">
        <f t="shared" si="26"/>
        <v>0.50918196994991649</v>
      </c>
      <c r="AZ13" s="180">
        <f t="shared" si="27"/>
        <v>0.49081803005008345</v>
      </c>
      <c r="BA13" s="183">
        <f t="shared" si="14"/>
        <v>2496.6999999999998</v>
      </c>
      <c r="BB13" s="189">
        <f t="shared" si="15"/>
        <v>3021.7</v>
      </c>
      <c r="BC13" s="193">
        <f t="shared" si="16"/>
        <v>211</v>
      </c>
      <c r="BD13" s="198">
        <f t="shared" si="17"/>
        <v>135</v>
      </c>
      <c r="BE13" s="198">
        <f t="shared" si="18"/>
        <v>11872</v>
      </c>
      <c r="BI13" s="16"/>
      <c r="BJ13" s="16"/>
      <c r="BK13" s="16"/>
      <c r="BL13" s="16"/>
      <c r="BM13" s="16"/>
      <c r="BN13" s="16"/>
      <c r="BO13" s="16"/>
      <c r="BP13" s="16"/>
      <c r="BQ13" s="16"/>
      <c r="BR13" s="16"/>
      <c r="BS13" s="16"/>
      <c r="BT13" s="16"/>
    </row>
    <row r="14" spans="1:93" ht="55.2" x14ac:dyDescent="0.3">
      <c r="B14" s="6">
        <f t="shared" si="19"/>
        <v>11</v>
      </c>
      <c r="C14" s="21" t="s">
        <v>469</v>
      </c>
      <c r="D14" s="11" t="s">
        <v>379</v>
      </c>
      <c r="E14" s="6" t="s">
        <v>386</v>
      </c>
      <c r="F14" s="6" t="s">
        <v>95</v>
      </c>
      <c r="G14" s="6" t="s">
        <v>96</v>
      </c>
      <c r="H14" s="10">
        <v>44317</v>
      </c>
      <c r="I14" s="10">
        <v>40877</v>
      </c>
      <c r="J14" s="17" t="s">
        <v>97</v>
      </c>
      <c r="K14" s="6" t="s">
        <v>385</v>
      </c>
      <c r="L14" s="20" t="s">
        <v>455</v>
      </c>
      <c r="M14" s="77" t="s">
        <v>565</v>
      </c>
      <c r="N14" s="20" t="s">
        <v>457</v>
      </c>
      <c r="O14" s="51">
        <v>6934.68702768</v>
      </c>
      <c r="P14" s="30">
        <v>624</v>
      </c>
      <c r="Q14" s="30">
        <v>97</v>
      </c>
      <c r="R14" s="30" t="s">
        <v>383</v>
      </c>
      <c r="S14" s="31">
        <v>3612</v>
      </c>
      <c r="T14" s="31">
        <v>5232</v>
      </c>
      <c r="U14" s="30">
        <v>420</v>
      </c>
      <c r="V14" s="30">
        <v>23</v>
      </c>
      <c r="W14" s="30">
        <v>4</v>
      </c>
      <c r="X14" s="30">
        <v>860</v>
      </c>
      <c r="Y14" s="30">
        <v>840</v>
      </c>
      <c r="Z14" s="30">
        <v>170</v>
      </c>
      <c r="AA14" s="30">
        <v>70</v>
      </c>
      <c r="AB14" s="30">
        <v>9100</v>
      </c>
      <c r="AE14" s="3" t="s">
        <v>394</v>
      </c>
      <c r="AF14" s="183">
        <f t="shared" si="0"/>
        <v>7085.2249720000009</v>
      </c>
      <c r="AG14" s="180">
        <f t="shared" si="1"/>
        <v>2.8591901828184423E-2</v>
      </c>
      <c r="AH14" s="183">
        <f t="shared" si="2"/>
        <v>7085.2249720000009</v>
      </c>
      <c r="AI14" s="180">
        <f t="shared" si="21"/>
        <v>1</v>
      </c>
      <c r="AJ14" s="183">
        <f t="shared" si="3"/>
        <v>0</v>
      </c>
      <c r="AK14" s="180">
        <f t="shared" si="22"/>
        <v>0</v>
      </c>
      <c r="AL14" s="183">
        <f t="shared" si="4"/>
        <v>0</v>
      </c>
      <c r="AM14" s="180">
        <f t="shared" si="23"/>
        <v>0</v>
      </c>
      <c r="AN14" s="183">
        <f t="shared" si="24"/>
        <v>7085.2249720000009</v>
      </c>
      <c r="AO14" s="180">
        <f t="shared" si="25"/>
        <v>1</v>
      </c>
      <c r="AP14" s="205">
        <f t="shared" si="5"/>
        <v>74</v>
      </c>
      <c r="AQ14" s="16">
        <f t="shared" si="6"/>
        <v>0</v>
      </c>
      <c r="AR14" s="175">
        <f t="shared" si="7"/>
        <v>0</v>
      </c>
      <c r="AS14" s="184">
        <f t="shared" si="8"/>
        <v>0</v>
      </c>
      <c r="AT14" s="186">
        <f t="shared" si="9"/>
        <v>74</v>
      </c>
      <c r="AU14" s="16">
        <f t="shared" si="10"/>
        <v>520</v>
      </c>
      <c r="AV14" s="188">
        <f t="shared" si="11"/>
        <v>210</v>
      </c>
      <c r="AW14" s="188">
        <f t="shared" si="12"/>
        <v>730</v>
      </c>
      <c r="AX14" s="193">
        <f t="shared" si="13"/>
        <v>760</v>
      </c>
      <c r="AY14" s="174">
        <f t="shared" si="26"/>
        <v>0.46578947368421053</v>
      </c>
      <c r="AZ14" s="180">
        <f t="shared" si="27"/>
        <v>0.53421052631578947</v>
      </c>
      <c r="BA14" s="183">
        <f t="shared" si="14"/>
        <v>2575.7600000000002</v>
      </c>
      <c r="BB14" s="189">
        <f t="shared" si="15"/>
        <v>5431.24</v>
      </c>
      <c r="BC14" s="193">
        <f t="shared" si="16"/>
        <v>180</v>
      </c>
      <c r="BD14" s="198">
        <f t="shared" si="17"/>
        <v>71</v>
      </c>
      <c r="BE14" s="198">
        <f t="shared" si="18"/>
        <v>4672</v>
      </c>
      <c r="BI14" s="16"/>
      <c r="BJ14" s="16"/>
      <c r="BK14" s="16"/>
      <c r="BL14" s="16"/>
      <c r="BM14" s="16"/>
      <c r="BN14" s="16"/>
      <c r="BO14" s="16"/>
      <c r="BP14" s="16"/>
      <c r="BQ14" s="16"/>
      <c r="BR14" s="16"/>
      <c r="BS14" s="16"/>
      <c r="BT14" s="16"/>
    </row>
    <row r="15" spans="1:93" ht="55.2" x14ac:dyDescent="0.3">
      <c r="B15" s="6">
        <f t="shared" si="19"/>
        <v>12</v>
      </c>
      <c r="C15" s="7" t="s">
        <v>470</v>
      </c>
      <c r="D15" s="11" t="s">
        <v>379</v>
      </c>
      <c r="E15" s="6" t="s">
        <v>386</v>
      </c>
      <c r="F15" s="6" t="s">
        <v>98</v>
      </c>
      <c r="G15" s="6" t="s">
        <v>99</v>
      </c>
      <c r="H15" s="10">
        <v>44321</v>
      </c>
      <c r="I15" s="10">
        <v>44521</v>
      </c>
      <c r="J15" s="17" t="s">
        <v>100</v>
      </c>
      <c r="K15" s="6" t="s">
        <v>385</v>
      </c>
      <c r="L15" s="20" t="s">
        <v>455</v>
      </c>
      <c r="M15" s="77" t="s">
        <v>566</v>
      </c>
      <c r="N15" s="20" t="s">
        <v>456</v>
      </c>
      <c r="O15" s="51">
        <v>6037.6153418900012</v>
      </c>
      <c r="P15" s="30">
        <v>340</v>
      </c>
      <c r="Q15" s="30">
        <v>41</v>
      </c>
      <c r="R15" s="30" t="s">
        <v>383</v>
      </c>
      <c r="S15" s="31">
        <v>2052.38</v>
      </c>
      <c r="T15" s="31">
        <v>3339.38</v>
      </c>
      <c r="U15" s="30">
        <v>420</v>
      </c>
      <c r="V15" s="30">
        <v>20</v>
      </c>
      <c r="W15" s="30">
        <v>4</v>
      </c>
      <c r="X15" s="30">
        <v>782</v>
      </c>
      <c r="Y15" s="30">
        <v>447</v>
      </c>
      <c r="Z15" s="30">
        <v>235</v>
      </c>
      <c r="AA15" s="30">
        <v>60</v>
      </c>
      <c r="AB15" s="30">
        <v>8750</v>
      </c>
      <c r="AE15" s="3" t="s">
        <v>393</v>
      </c>
      <c r="AF15" s="183">
        <f t="shared" si="0"/>
        <v>0</v>
      </c>
      <c r="AG15" s="181">
        <f t="shared" si="1"/>
        <v>0</v>
      </c>
      <c r="AH15" s="183">
        <f t="shared" si="2"/>
        <v>0</v>
      </c>
      <c r="AI15" s="181">
        <v>0</v>
      </c>
      <c r="AJ15" s="183">
        <f t="shared" si="3"/>
        <v>0</v>
      </c>
      <c r="AK15" s="181">
        <v>0</v>
      </c>
      <c r="AL15" s="183">
        <f t="shared" si="4"/>
        <v>0</v>
      </c>
      <c r="AM15" s="181">
        <v>0</v>
      </c>
      <c r="AN15" s="183">
        <f t="shared" si="24"/>
        <v>0</v>
      </c>
      <c r="AO15" s="181">
        <v>0</v>
      </c>
      <c r="AP15" s="183">
        <f t="shared" si="5"/>
        <v>0</v>
      </c>
      <c r="AQ15" s="173">
        <f t="shared" si="6"/>
        <v>0</v>
      </c>
      <c r="AR15" s="176">
        <f t="shared" si="7"/>
        <v>0</v>
      </c>
      <c r="AS15" s="181">
        <f t="shared" si="8"/>
        <v>0</v>
      </c>
      <c r="AT15" s="187">
        <f t="shared" si="9"/>
        <v>0</v>
      </c>
      <c r="AU15" s="173">
        <f t="shared" si="10"/>
        <v>0</v>
      </c>
      <c r="AV15" s="189">
        <f t="shared" si="11"/>
        <v>0</v>
      </c>
      <c r="AW15" s="189">
        <f t="shared" si="12"/>
        <v>0</v>
      </c>
      <c r="AX15" s="193">
        <f t="shared" si="13"/>
        <v>0</v>
      </c>
      <c r="AY15" s="176">
        <v>0</v>
      </c>
      <c r="AZ15" s="181">
        <v>0</v>
      </c>
      <c r="BA15" s="183">
        <f t="shared" si="14"/>
        <v>0</v>
      </c>
      <c r="BB15" s="189">
        <f t="shared" si="15"/>
        <v>0</v>
      </c>
      <c r="BC15" s="193">
        <f t="shared" si="16"/>
        <v>0</v>
      </c>
      <c r="BD15" s="198">
        <f t="shared" si="17"/>
        <v>0</v>
      </c>
      <c r="BE15" s="198">
        <f t="shared" si="18"/>
        <v>0</v>
      </c>
      <c r="BI15" s="16"/>
      <c r="BJ15" s="16"/>
      <c r="BK15" s="16"/>
      <c r="BL15" s="16"/>
      <c r="BM15" s="16"/>
      <c r="BN15" s="16"/>
      <c r="BO15" s="16"/>
      <c r="BP15" s="16"/>
      <c r="BQ15" s="16"/>
      <c r="BR15" s="16"/>
      <c r="BS15" s="16"/>
      <c r="BT15" s="16"/>
    </row>
    <row r="16" spans="1:93" ht="69" x14ac:dyDescent="0.3">
      <c r="B16" s="6">
        <f t="shared" si="19"/>
        <v>13</v>
      </c>
      <c r="C16" s="7" t="s">
        <v>485</v>
      </c>
      <c r="D16" s="11" t="s">
        <v>379</v>
      </c>
      <c r="E16" s="6" t="s">
        <v>386</v>
      </c>
      <c r="F16" s="6" t="s">
        <v>101</v>
      </c>
      <c r="G16" s="6" t="s">
        <v>102</v>
      </c>
      <c r="H16" s="10">
        <v>44428</v>
      </c>
      <c r="I16" s="10">
        <v>44530</v>
      </c>
      <c r="J16" s="17" t="s">
        <v>103</v>
      </c>
      <c r="K16" s="6" t="s">
        <v>385</v>
      </c>
      <c r="L16" s="20" t="s">
        <v>455</v>
      </c>
      <c r="M16" s="77" t="s">
        <v>567</v>
      </c>
      <c r="N16" s="20" t="s">
        <v>457</v>
      </c>
      <c r="O16" s="51">
        <v>8965.6333369999993</v>
      </c>
      <c r="P16" s="30">
        <v>970</v>
      </c>
      <c r="Q16" s="30">
        <v>94</v>
      </c>
      <c r="R16" s="30" t="s">
        <v>383</v>
      </c>
      <c r="S16" s="31">
        <v>7381.7</v>
      </c>
      <c r="T16" s="31">
        <v>10300</v>
      </c>
      <c r="U16" s="30">
        <v>640</v>
      </c>
      <c r="V16" s="30">
        <v>34</v>
      </c>
      <c r="W16" s="30">
        <v>7</v>
      </c>
      <c r="X16" s="30">
        <v>804</v>
      </c>
      <c r="Y16" s="30">
        <v>690</v>
      </c>
      <c r="Z16" s="30">
        <v>322</v>
      </c>
      <c r="AA16" s="30">
        <v>18</v>
      </c>
      <c r="AB16" s="30">
        <v>12885</v>
      </c>
      <c r="AE16" s="3" t="s">
        <v>395</v>
      </c>
      <c r="AF16" s="183">
        <f t="shared" si="0"/>
        <v>21586.25026375</v>
      </c>
      <c r="AG16" s="180">
        <f t="shared" si="1"/>
        <v>8.7109717873297202E-2</v>
      </c>
      <c r="AH16" s="183">
        <f t="shared" si="2"/>
        <v>0</v>
      </c>
      <c r="AI16" s="180">
        <f>+AH16/AF16</f>
        <v>0</v>
      </c>
      <c r="AJ16" s="183">
        <f t="shared" si="3"/>
        <v>21586.25026375</v>
      </c>
      <c r="AK16" s="180">
        <f>+AJ16/AF16</f>
        <v>1</v>
      </c>
      <c r="AL16" s="183">
        <f t="shared" si="4"/>
        <v>0</v>
      </c>
      <c r="AM16" s="180">
        <f>+AL16/AF16</f>
        <v>0</v>
      </c>
      <c r="AN16" s="183">
        <f t="shared" si="24"/>
        <v>21586.25026375</v>
      </c>
      <c r="AO16" s="180">
        <f>+AN16/AF16</f>
        <v>1</v>
      </c>
      <c r="AP16" s="205">
        <f t="shared" si="5"/>
        <v>291</v>
      </c>
      <c r="AQ16" s="16">
        <f t="shared" si="6"/>
        <v>90</v>
      </c>
      <c r="AR16" s="175">
        <f t="shared" si="7"/>
        <v>74</v>
      </c>
      <c r="AS16" s="184">
        <f t="shared" si="8"/>
        <v>16</v>
      </c>
      <c r="AT16" s="186">
        <f t="shared" si="9"/>
        <v>381</v>
      </c>
      <c r="AU16" s="16">
        <f t="shared" si="10"/>
        <v>2120</v>
      </c>
      <c r="AV16" s="188">
        <f t="shared" si="11"/>
        <v>1504</v>
      </c>
      <c r="AW16" s="188">
        <f t="shared" si="12"/>
        <v>3624</v>
      </c>
      <c r="AX16" s="193">
        <f t="shared" si="13"/>
        <v>5168</v>
      </c>
      <c r="AY16" s="174">
        <f>+SUMIFS($X$4:$X$36,$E$4:$E$36,AE16)/AX16</f>
        <v>0.54315015479876161</v>
      </c>
      <c r="AZ16" s="180">
        <f>SUMIFS($Y$4:$Y$36,$E$4:$E$36,AE16)/AX16</f>
        <v>0.45684984520123839</v>
      </c>
      <c r="BA16" s="183">
        <f t="shared" si="14"/>
        <v>12954</v>
      </c>
      <c r="BB16" s="189">
        <f t="shared" si="15"/>
        <v>25015</v>
      </c>
      <c r="BC16" s="193">
        <f t="shared" si="16"/>
        <v>590</v>
      </c>
      <c r="BD16" s="198">
        <f t="shared" si="17"/>
        <v>280</v>
      </c>
      <c r="BE16" s="198">
        <f t="shared" si="18"/>
        <v>20175</v>
      </c>
      <c r="BI16" s="16"/>
      <c r="BJ16" s="16"/>
      <c r="BK16" s="16"/>
      <c r="BL16" s="16"/>
      <c r="BM16" s="16"/>
      <c r="BN16" s="16"/>
      <c r="BO16" s="16"/>
      <c r="BP16" s="16"/>
      <c r="BQ16" s="16"/>
      <c r="BR16" s="16"/>
      <c r="BS16" s="16"/>
      <c r="BT16" s="16"/>
    </row>
    <row r="17" spans="2:57" ht="55.2" x14ac:dyDescent="0.3">
      <c r="B17" s="6">
        <f t="shared" si="19"/>
        <v>14</v>
      </c>
      <c r="C17" s="62" t="s">
        <v>471</v>
      </c>
      <c r="D17" s="11" t="s">
        <v>379</v>
      </c>
      <c r="E17" s="11" t="s">
        <v>399</v>
      </c>
      <c r="F17" s="6" t="s">
        <v>148</v>
      </c>
      <c r="G17" s="26" t="s">
        <v>149</v>
      </c>
      <c r="H17" s="10">
        <v>44317</v>
      </c>
      <c r="I17" s="29">
        <v>44484</v>
      </c>
      <c r="J17" s="17" t="s">
        <v>150</v>
      </c>
      <c r="K17" s="6" t="s">
        <v>385</v>
      </c>
      <c r="L17" s="20" t="s">
        <v>455</v>
      </c>
      <c r="M17" s="77" t="s">
        <v>568</v>
      </c>
      <c r="N17" s="20" t="s">
        <v>456</v>
      </c>
      <c r="O17" s="51">
        <v>6165.0249999999996</v>
      </c>
      <c r="P17" s="34">
        <v>865</v>
      </c>
      <c r="Q17" s="20">
        <v>114</v>
      </c>
      <c r="R17" s="30" t="s">
        <v>383</v>
      </c>
      <c r="S17" s="61">
        <v>2140</v>
      </c>
      <c r="T17" s="25">
        <v>2725.34</v>
      </c>
      <c r="U17" s="20">
        <v>360</v>
      </c>
      <c r="V17" s="20">
        <v>14</v>
      </c>
      <c r="W17" s="20">
        <v>2</v>
      </c>
      <c r="X17" s="20">
        <v>840</v>
      </c>
      <c r="Y17" s="20">
        <v>769</v>
      </c>
      <c r="Z17" s="20">
        <v>318</v>
      </c>
      <c r="AA17" s="20">
        <v>147</v>
      </c>
      <c r="AB17" s="20">
        <v>2475</v>
      </c>
      <c r="AE17" s="3" t="s">
        <v>396</v>
      </c>
      <c r="AF17" s="183">
        <f t="shared" si="0"/>
        <v>45768.042603549999</v>
      </c>
      <c r="AG17" s="180">
        <f t="shared" si="1"/>
        <v>0.18469355400291215</v>
      </c>
      <c r="AH17" s="183">
        <f t="shared" si="2"/>
        <v>37467.070645400003</v>
      </c>
      <c r="AI17" s="180">
        <f>+AH17/AF17</f>
        <v>0.81862951776080262</v>
      </c>
      <c r="AJ17" s="183">
        <f t="shared" si="3"/>
        <v>8300.9719581499994</v>
      </c>
      <c r="AK17" s="180">
        <f>+AJ17/AF17</f>
        <v>0.18137048223919749</v>
      </c>
      <c r="AL17" s="183">
        <f t="shared" si="4"/>
        <v>0</v>
      </c>
      <c r="AM17" s="180">
        <f>+AL17/AF17</f>
        <v>0</v>
      </c>
      <c r="AN17" s="183">
        <f t="shared" si="24"/>
        <v>45768.042603549999</v>
      </c>
      <c r="AO17" s="180">
        <f>+AN17/AF17</f>
        <v>1</v>
      </c>
      <c r="AP17" s="205">
        <f t="shared" si="5"/>
        <v>310</v>
      </c>
      <c r="AQ17" s="16">
        <f t="shared" si="6"/>
        <v>69</v>
      </c>
      <c r="AR17" s="175">
        <f t="shared" si="7"/>
        <v>52</v>
      </c>
      <c r="AS17" s="184">
        <f t="shared" si="8"/>
        <v>17</v>
      </c>
      <c r="AT17" s="186">
        <f t="shared" si="9"/>
        <v>379</v>
      </c>
      <c r="AU17" s="16">
        <f t="shared" si="10"/>
        <v>3096</v>
      </c>
      <c r="AV17" s="188">
        <f t="shared" si="11"/>
        <v>1282</v>
      </c>
      <c r="AW17" s="188">
        <f t="shared" si="12"/>
        <v>4378</v>
      </c>
      <c r="AX17" s="193">
        <f t="shared" si="13"/>
        <v>3760</v>
      </c>
      <c r="AY17" s="174">
        <f>+SUMIFS($X$4:$X$36,$E$4:$E$36,AE17)/AX17</f>
        <v>0.50904255319148939</v>
      </c>
      <c r="AZ17" s="180">
        <f>SUMIFS($Y$4:$Y$36,$E$4:$E$36,AE17)/AX17</f>
        <v>0.49095744680851061</v>
      </c>
      <c r="BA17" s="183">
        <f t="shared" si="14"/>
        <v>13393.59</v>
      </c>
      <c r="BB17" s="189">
        <f t="shared" si="15"/>
        <v>17376.650000000001</v>
      </c>
      <c r="BC17" s="193">
        <f t="shared" si="16"/>
        <v>554</v>
      </c>
      <c r="BD17" s="198">
        <f t="shared" si="17"/>
        <v>245</v>
      </c>
      <c r="BE17" s="198">
        <f t="shared" si="18"/>
        <v>18230</v>
      </c>
    </row>
    <row r="18" spans="2:57" ht="55.2" x14ac:dyDescent="0.25">
      <c r="B18" s="6">
        <f t="shared" si="19"/>
        <v>15</v>
      </c>
      <c r="C18" s="62" t="s">
        <v>472</v>
      </c>
      <c r="D18" s="11" t="s">
        <v>379</v>
      </c>
      <c r="E18" s="11" t="s">
        <v>399</v>
      </c>
      <c r="F18" s="6" t="s">
        <v>148</v>
      </c>
      <c r="G18" s="26" t="s">
        <v>149</v>
      </c>
      <c r="H18" s="10">
        <v>44328</v>
      </c>
      <c r="I18" s="29">
        <v>44676</v>
      </c>
      <c r="J18" s="17" t="s">
        <v>151</v>
      </c>
      <c r="K18" s="6" t="s">
        <v>385</v>
      </c>
      <c r="L18" s="20" t="s">
        <v>455</v>
      </c>
      <c r="M18" s="77" t="s">
        <v>569</v>
      </c>
      <c r="N18" s="20" t="s">
        <v>456</v>
      </c>
      <c r="O18" s="51">
        <v>7649.27</v>
      </c>
      <c r="P18" s="34">
        <v>940</v>
      </c>
      <c r="Q18" s="20">
        <v>220</v>
      </c>
      <c r="R18" s="30" t="s">
        <v>383</v>
      </c>
      <c r="S18" s="25">
        <v>6431.63</v>
      </c>
      <c r="T18" s="25">
        <v>8566</v>
      </c>
      <c r="U18" s="20">
        <v>420</v>
      </c>
      <c r="V18" s="20">
        <v>37</v>
      </c>
      <c r="W18" s="20">
        <v>5</v>
      </c>
      <c r="X18" s="20">
        <v>1188</v>
      </c>
      <c r="Y18" s="20">
        <v>970</v>
      </c>
      <c r="Z18" s="20">
        <v>427</v>
      </c>
      <c r="AA18" s="20">
        <v>148</v>
      </c>
      <c r="AB18" s="20">
        <v>5832</v>
      </c>
      <c r="AE18" s="161"/>
      <c r="AF18" s="172">
        <f>+SUM(AF4:AF17)</f>
        <v>247805.30566230998</v>
      </c>
      <c r="AG18" s="199"/>
      <c r="AH18" s="172">
        <f>+SUM(AH4:AH17)</f>
        <v>160621.46514175998</v>
      </c>
      <c r="AI18" s="199"/>
      <c r="AJ18" s="172">
        <f>+SUM(AJ4:AJ17)</f>
        <v>87183.840520549988</v>
      </c>
      <c r="AK18" s="199"/>
      <c r="AL18" s="172">
        <f>+SUM(AL4:AL17)</f>
        <v>28776.432620970001</v>
      </c>
      <c r="AM18" s="200"/>
      <c r="AN18" s="172">
        <f>+SUM(AN4:AN17)</f>
        <v>219028.87304133998</v>
      </c>
      <c r="AO18" s="200"/>
      <c r="AP18" s="195">
        <f t="shared" ref="AP18:AX18" si="28">+SUM(AP4:AP17)</f>
        <v>2404</v>
      </c>
      <c r="AQ18" s="195">
        <f t="shared" si="28"/>
        <v>784</v>
      </c>
      <c r="AR18" s="196">
        <f t="shared" si="28"/>
        <v>626</v>
      </c>
      <c r="AS18" s="196">
        <f t="shared" si="28"/>
        <v>158</v>
      </c>
      <c r="AT18" s="195">
        <f t="shared" si="28"/>
        <v>3188</v>
      </c>
      <c r="AU18" s="195">
        <f t="shared" si="28"/>
        <v>18051</v>
      </c>
      <c r="AV18" s="195">
        <f t="shared" si="28"/>
        <v>11929</v>
      </c>
      <c r="AW18" s="195">
        <f t="shared" si="28"/>
        <v>29980</v>
      </c>
      <c r="AX18" s="195">
        <f t="shared" si="28"/>
        <v>36407</v>
      </c>
      <c r="AY18" s="5"/>
      <c r="AZ18" s="5"/>
      <c r="BA18" s="172">
        <f>+SUM(BA4:BA17)</f>
        <v>82604.149999999994</v>
      </c>
      <c r="BB18" s="172">
        <f>+SUM(BB4:BB17)</f>
        <v>148419.44999999998</v>
      </c>
      <c r="BC18" s="172">
        <f>+SUM(BC4:BC17)</f>
        <v>5476</v>
      </c>
      <c r="BD18" s="172">
        <f>+SUM(BD4:BD17)</f>
        <v>2040</v>
      </c>
      <c r="BE18" s="172">
        <f>+SUM(BE4:BE17)</f>
        <v>160193</v>
      </c>
    </row>
    <row r="19" spans="2:57" ht="91.8" customHeight="1" x14ac:dyDescent="0.25">
      <c r="B19" s="6">
        <f t="shared" si="19"/>
        <v>16</v>
      </c>
      <c r="C19" s="62" t="s">
        <v>473</v>
      </c>
      <c r="D19" s="11" t="s">
        <v>379</v>
      </c>
      <c r="E19" s="11" t="s">
        <v>399</v>
      </c>
      <c r="F19" s="6" t="s">
        <v>148</v>
      </c>
      <c r="G19" s="26" t="s">
        <v>149</v>
      </c>
      <c r="H19" s="10">
        <v>44306</v>
      </c>
      <c r="I19" s="29">
        <v>44469</v>
      </c>
      <c r="J19" s="17" t="s">
        <v>152</v>
      </c>
      <c r="K19" s="6" t="s">
        <v>385</v>
      </c>
      <c r="L19" s="20" t="s">
        <v>455</v>
      </c>
      <c r="M19" s="77" t="s">
        <v>748</v>
      </c>
      <c r="N19" s="20" t="s">
        <v>456</v>
      </c>
      <c r="O19" s="51">
        <v>6156.0390000000007</v>
      </c>
      <c r="P19" s="20">
        <v>240</v>
      </c>
      <c r="Q19" s="20">
        <v>66</v>
      </c>
      <c r="R19" s="30" t="s">
        <v>382</v>
      </c>
      <c r="S19" s="25">
        <v>1470</v>
      </c>
      <c r="T19" s="25">
        <v>1470</v>
      </c>
      <c r="U19" s="20">
        <v>140</v>
      </c>
      <c r="V19" s="20">
        <v>14</v>
      </c>
      <c r="W19" s="20">
        <v>2</v>
      </c>
      <c r="X19" s="20">
        <v>233</v>
      </c>
      <c r="Y19" s="20">
        <v>127</v>
      </c>
      <c r="Z19" s="20">
        <v>43</v>
      </c>
      <c r="AA19" s="20">
        <v>40</v>
      </c>
      <c r="AB19" s="20">
        <v>5978</v>
      </c>
      <c r="AE19" s="161"/>
      <c r="AF19" s="167" t="b">
        <f>+AF18=O37</f>
        <v>1</v>
      </c>
      <c r="AG19" s="201"/>
      <c r="AH19" s="201"/>
      <c r="AI19" s="201"/>
      <c r="AJ19" s="201"/>
      <c r="AK19" s="201"/>
      <c r="AL19" s="161"/>
      <c r="AM19" s="161"/>
      <c r="AN19" s="161"/>
      <c r="AO19" s="161"/>
      <c r="AP19" s="167" t="b">
        <f>+AP18=Q37</f>
        <v>1</v>
      </c>
      <c r="AQ19" s="16"/>
      <c r="AR19" s="168" t="b">
        <f>+AR18=V37</f>
        <v>1</v>
      </c>
      <c r="AS19" s="168" t="b">
        <f>+AS18=W37</f>
        <v>1</v>
      </c>
      <c r="AT19" s="168" t="b">
        <f>+AP18+AQ18=AT18</f>
        <v>1</v>
      </c>
      <c r="AU19" s="168" t="b">
        <f>+AU18=P37</f>
        <v>1</v>
      </c>
      <c r="AV19" s="168" t="b">
        <f>+AV18=U37</f>
        <v>1</v>
      </c>
      <c r="AX19" s="168" t="b">
        <f>+AX18=X37+Y37</f>
        <v>1</v>
      </c>
      <c r="BA19" s="168" t="b">
        <f>+BA18=S37</f>
        <v>1</v>
      </c>
      <c r="BB19" s="168" t="b">
        <f>+BB18=T37</f>
        <v>1</v>
      </c>
      <c r="BC19" s="168" t="b">
        <f>+BC18=Z37</f>
        <v>1</v>
      </c>
      <c r="BD19" s="168" t="b">
        <f>+BD18=AA37</f>
        <v>1</v>
      </c>
      <c r="BE19" s="168" t="b">
        <f>+BE18=AB37</f>
        <v>1</v>
      </c>
    </row>
    <row r="20" spans="2:57" ht="55.2" x14ac:dyDescent="0.25">
      <c r="B20" s="6">
        <f t="shared" si="19"/>
        <v>17</v>
      </c>
      <c r="C20" s="66" t="s">
        <v>474</v>
      </c>
      <c r="D20" s="11" t="s">
        <v>379</v>
      </c>
      <c r="E20" s="11" t="s">
        <v>392</v>
      </c>
      <c r="F20" s="11" t="s">
        <v>163</v>
      </c>
      <c r="G20" s="26" t="s">
        <v>164</v>
      </c>
      <c r="H20" s="29">
        <v>44317</v>
      </c>
      <c r="I20" s="29">
        <v>44442</v>
      </c>
      <c r="J20" s="17" t="s">
        <v>165</v>
      </c>
      <c r="K20" s="6" t="s">
        <v>385</v>
      </c>
      <c r="L20" s="20" t="s">
        <v>455</v>
      </c>
      <c r="M20" s="77" t="s">
        <v>570</v>
      </c>
      <c r="N20" s="20" t="s">
        <v>456</v>
      </c>
      <c r="O20" s="51">
        <v>7298.2784580000007</v>
      </c>
      <c r="P20" s="34">
        <v>960</v>
      </c>
      <c r="Q20" s="34">
        <v>120</v>
      </c>
      <c r="R20" s="30" t="s">
        <v>383</v>
      </c>
      <c r="S20" s="115">
        <v>2496.6999999999998</v>
      </c>
      <c r="T20" s="115">
        <v>3021.7</v>
      </c>
      <c r="U20" s="34">
        <v>360</v>
      </c>
      <c r="V20" s="34">
        <v>22</v>
      </c>
      <c r="W20" s="30">
        <v>2</v>
      </c>
      <c r="X20" s="30">
        <v>915</v>
      </c>
      <c r="Y20" s="30">
        <v>882</v>
      </c>
      <c r="Z20" s="30">
        <v>211</v>
      </c>
      <c r="AA20" s="30">
        <v>135</v>
      </c>
      <c r="AB20" s="30">
        <v>11872</v>
      </c>
      <c r="AE20" s="161"/>
      <c r="AF20" s="200"/>
      <c r="AG20" s="201"/>
      <c r="AH20" s="201"/>
      <c r="AI20" s="201"/>
      <c r="AJ20" s="201"/>
      <c r="AK20" s="201"/>
      <c r="AL20" s="161"/>
      <c r="AM20" s="161"/>
      <c r="AN20" s="161"/>
      <c r="AO20" s="161"/>
      <c r="AP20" s="161"/>
      <c r="AQ20" s="161"/>
    </row>
    <row r="21" spans="2:57" ht="55.2" x14ac:dyDescent="0.25">
      <c r="B21" s="6">
        <f t="shared" si="19"/>
        <v>18</v>
      </c>
      <c r="C21" s="74" t="s">
        <v>475</v>
      </c>
      <c r="D21" s="11" t="s">
        <v>379</v>
      </c>
      <c r="E21" s="11" t="s">
        <v>388</v>
      </c>
      <c r="F21" s="11" t="s">
        <v>182</v>
      </c>
      <c r="G21" s="6" t="s">
        <v>183</v>
      </c>
      <c r="H21" s="10" t="s">
        <v>184</v>
      </c>
      <c r="I21" s="10" t="s">
        <v>185</v>
      </c>
      <c r="J21" s="71" t="s">
        <v>186</v>
      </c>
      <c r="K21" s="6" t="s">
        <v>385</v>
      </c>
      <c r="L21" s="20" t="s">
        <v>455</v>
      </c>
      <c r="M21" s="77" t="s">
        <v>571</v>
      </c>
      <c r="N21" s="20" t="s">
        <v>456</v>
      </c>
      <c r="O21" s="51">
        <v>7659.6151689999997</v>
      </c>
      <c r="P21" s="20">
        <v>700</v>
      </c>
      <c r="Q21" s="20">
        <v>72</v>
      </c>
      <c r="R21" s="30" t="s">
        <v>382</v>
      </c>
      <c r="S21" s="51">
        <v>1700</v>
      </c>
      <c r="T21" s="51">
        <v>1700</v>
      </c>
      <c r="U21" s="20">
        <v>0</v>
      </c>
      <c r="V21" s="20" t="s">
        <v>17</v>
      </c>
      <c r="W21" s="41">
        <v>1</v>
      </c>
      <c r="X21" s="41">
        <v>369</v>
      </c>
      <c r="Y21" s="41">
        <v>331</v>
      </c>
      <c r="Z21" s="41">
        <v>65</v>
      </c>
      <c r="AA21" s="41">
        <v>30</v>
      </c>
      <c r="AB21" s="41">
        <v>4811</v>
      </c>
      <c r="AE21" s="161"/>
      <c r="AF21" s="200"/>
      <c r="AG21" s="201"/>
      <c r="AH21" s="201"/>
      <c r="AI21" s="201"/>
      <c r="AJ21" s="201"/>
      <c r="AK21" s="201"/>
      <c r="AL21" s="161"/>
      <c r="AM21" s="161"/>
      <c r="AN21" s="161"/>
      <c r="AO21" s="161"/>
      <c r="AP21" s="161"/>
      <c r="AQ21" s="161"/>
    </row>
    <row r="22" spans="2:57" ht="55.2" x14ac:dyDescent="0.25">
      <c r="B22" s="6">
        <f t="shared" si="19"/>
        <v>19</v>
      </c>
      <c r="C22" s="17" t="s">
        <v>476</v>
      </c>
      <c r="D22" s="11" t="s">
        <v>379</v>
      </c>
      <c r="E22" s="11" t="s">
        <v>391</v>
      </c>
      <c r="F22" s="11" t="s">
        <v>204</v>
      </c>
      <c r="G22" s="11" t="s">
        <v>205</v>
      </c>
      <c r="H22" s="29">
        <v>44310</v>
      </c>
      <c r="I22" s="29">
        <v>44545</v>
      </c>
      <c r="J22" s="17" t="s">
        <v>206</v>
      </c>
      <c r="K22" s="6" t="s">
        <v>385</v>
      </c>
      <c r="L22" s="20" t="s">
        <v>455</v>
      </c>
      <c r="M22" s="77" t="s">
        <v>572</v>
      </c>
      <c r="N22" s="20" t="s">
        <v>456</v>
      </c>
      <c r="O22" s="51">
        <v>8290.7125620000006</v>
      </c>
      <c r="P22" s="30">
        <v>779</v>
      </c>
      <c r="Q22" s="30">
        <v>93</v>
      </c>
      <c r="R22" s="30" t="s">
        <v>383</v>
      </c>
      <c r="S22" s="31">
        <v>5911</v>
      </c>
      <c r="T22" s="31">
        <v>6478</v>
      </c>
      <c r="U22" s="30">
        <v>360</v>
      </c>
      <c r="V22" s="30">
        <v>5</v>
      </c>
      <c r="W22" s="30">
        <v>2</v>
      </c>
      <c r="X22" s="30">
        <v>789</v>
      </c>
      <c r="Y22" s="30">
        <v>767</v>
      </c>
      <c r="Z22" s="30">
        <v>143</v>
      </c>
      <c r="AA22" s="30">
        <v>72</v>
      </c>
      <c r="AB22" s="30">
        <v>2814</v>
      </c>
      <c r="AE22" s="161"/>
      <c r="AF22" s="200"/>
      <c r="AG22" s="201"/>
      <c r="AH22" s="201"/>
      <c r="AI22" s="201"/>
      <c r="AJ22" s="201"/>
      <c r="AK22" s="201"/>
      <c r="AL22" s="161"/>
      <c r="AM22" s="161"/>
      <c r="AN22" s="161"/>
      <c r="AO22" s="161"/>
      <c r="AP22" s="161"/>
      <c r="AQ22" s="161"/>
    </row>
    <row r="23" spans="2:57" ht="81" customHeight="1" x14ac:dyDescent="0.25">
      <c r="B23" s="6">
        <f t="shared" si="19"/>
        <v>20</v>
      </c>
      <c r="C23" s="17" t="s">
        <v>486</v>
      </c>
      <c r="D23" s="11" t="s">
        <v>379</v>
      </c>
      <c r="E23" s="11" t="s">
        <v>391</v>
      </c>
      <c r="F23" s="11" t="s">
        <v>207</v>
      </c>
      <c r="G23" s="6">
        <v>934030644</v>
      </c>
      <c r="H23" s="10">
        <v>44296</v>
      </c>
      <c r="I23" s="10">
        <v>44428</v>
      </c>
      <c r="J23" s="17" t="s">
        <v>208</v>
      </c>
      <c r="K23" s="6" t="s">
        <v>385</v>
      </c>
      <c r="L23" s="20" t="s">
        <v>455</v>
      </c>
      <c r="M23" s="77" t="s">
        <v>573</v>
      </c>
      <c r="N23" s="20" t="s">
        <v>456</v>
      </c>
      <c r="O23" s="51">
        <v>6171.4915730000002</v>
      </c>
      <c r="P23" s="43">
        <v>470</v>
      </c>
      <c r="Q23" s="43">
        <v>77</v>
      </c>
      <c r="R23" s="30" t="s">
        <v>383</v>
      </c>
      <c r="S23" s="51">
        <v>1404</v>
      </c>
      <c r="T23" s="51">
        <v>2270</v>
      </c>
      <c r="U23" s="43">
        <v>270</v>
      </c>
      <c r="V23" s="43">
        <v>3</v>
      </c>
      <c r="W23" s="43">
        <v>2</v>
      </c>
      <c r="X23" s="43">
        <v>500</v>
      </c>
      <c r="Y23" s="43">
        <v>342</v>
      </c>
      <c r="Z23" s="43">
        <v>52</v>
      </c>
      <c r="AA23" s="43">
        <v>9</v>
      </c>
      <c r="AB23" s="41">
        <v>2300</v>
      </c>
      <c r="AE23" s="161"/>
      <c r="AF23" s="200"/>
      <c r="AG23" s="201"/>
      <c r="AH23" s="201"/>
      <c r="AI23" s="201"/>
      <c r="AJ23" s="201"/>
      <c r="AK23" s="201"/>
      <c r="AL23" s="161"/>
      <c r="AM23" s="161"/>
      <c r="AN23" s="161"/>
      <c r="AO23" s="161"/>
      <c r="AP23" s="161"/>
      <c r="AQ23" s="161"/>
    </row>
    <row r="24" spans="2:57" ht="69" x14ac:dyDescent="0.25">
      <c r="B24" s="6">
        <f t="shared" si="19"/>
        <v>21</v>
      </c>
      <c r="C24" s="17" t="s">
        <v>487</v>
      </c>
      <c r="D24" s="11" t="s">
        <v>379</v>
      </c>
      <c r="E24" s="11" t="s">
        <v>391</v>
      </c>
      <c r="F24" s="11" t="s">
        <v>209</v>
      </c>
      <c r="G24" s="11" t="s">
        <v>210</v>
      </c>
      <c r="H24" s="29">
        <v>44302</v>
      </c>
      <c r="I24" s="29">
        <v>44524</v>
      </c>
      <c r="J24" s="17" t="s">
        <v>211</v>
      </c>
      <c r="K24" s="6" t="s">
        <v>385</v>
      </c>
      <c r="L24" s="20" t="s">
        <v>455</v>
      </c>
      <c r="M24" s="77" t="s">
        <v>574</v>
      </c>
      <c r="N24" s="20" t="s">
        <v>457</v>
      </c>
      <c r="O24" s="51">
        <v>7553.2956699999995</v>
      </c>
      <c r="P24" s="30">
        <v>985</v>
      </c>
      <c r="Q24" s="30">
        <v>125</v>
      </c>
      <c r="R24" s="30" t="s">
        <v>383</v>
      </c>
      <c r="S24" s="60">
        <v>3158</v>
      </c>
      <c r="T24" s="60">
        <v>4200</v>
      </c>
      <c r="U24" s="30">
        <v>330</v>
      </c>
      <c r="V24" s="30">
        <v>12</v>
      </c>
      <c r="W24" s="30">
        <v>4</v>
      </c>
      <c r="X24" s="30">
        <v>981</v>
      </c>
      <c r="Y24" s="30">
        <v>1046</v>
      </c>
      <c r="Z24" s="30">
        <v>370</v>
      </c>
      <c r="AA24" s="30">
        <v>48</v>
      </c>
      <c r="AB24" s="30">
        <v>6628</v>
      </c>
      <c r="AE24" s="161"/>
      <c r="AF24" s="200"/>
      <c r="AG24" s="201"/>
      <c r="AH24" s="201"/>
      <c r="AI24" s="201"/>
      <c r="AJ24" s="201"/>
      <c r="AK24" s="201"/>
      <c r="AL24" s="161"/>
      <c r="AM24" s="161"/>
      <c r="AN24" s="161"/>
      <c r="AO24" s="161"/>
      <c r="AP24" s="161"/>
      <c r="AQ24" s="161"/>
    </row>
    <row r="25" spans="2:57" ht="55.2" x14ac:dyDescent="0.25">
      <c r="B25" s="6">
        <f t="shared" si="19"/>
        <v>22</v>
      </c>
      <c r="C25" s="17" t="s">
        <v>477</v>
      </c>
      <c r="D25" s="11" t="s">
        <v>379</v>
      </c>
      <c r="E25" s="11" t="s">
        <v>391</v>
      </c>
      <c r="F25" s="11" t="s">
        <v>212</v>
      </c>
      <c r="G25" s="11" t="s">
        <v>213</v>
      </c>
      <c r="H25" s="29">
        <v>44389</v>
      </c>
      <c r="I25" s="29">
        <v>44614</v>
      </c>
      <c r="J25" s="17" t="s">
        <v>214</v>
      </c>
      <c r="K25" s="6" t="s">
        <v>385</v>
      </c>
      <c r="L25" s="20" t="s">
        <v>458</v>
      </c>
      <c r="M25" s="77" t="s">
        <v>575</v>
      </c>
      <c r="N25" s="20" t="s">
        <v>457</v>
      </c>
      <c r="O25" s="51">
        <v>16204.841998</v>
      </c>
      <c r="P25" s="30">
        <v>0</v>
      </c>
      <c r="Q25" s="30">
        <v>0</v>
      </c>
      <c r="R25" s="30" t="s">
        <v>381</v>
      </c>
      <c r="S25" s="60">
        <v>0</v>
      </c>
      <c r="T25" s="60">
        <v>9900</v>
      </c>
      <c r="U25" s="30">
        <v>660</v>
      </c>
      <c r="V25" s="30">
        <v>48</v>
      </c>
      <c r="W25" s="30">
        <v>13</v>
      </c>
      <c r="X25" s="30">
        <v>520</v>
      </c>
      <c r="Y25" s="30">
        <v>353</v>
      </c>
      <c r="Z25" s="30">
        <v>18</v>
      </c>
      <c r="AA25" s="30">
        <v>0</v>
      </c>
      <c r="AB25" s="30">
        <v>4122</v>
      </c>
      <c r="AE25" s="161"/>
      <c r="AF25" s="200"/>
      <c r="AG25" s="201"/>
      <c r="AH25" s="201"/>
      <c r="AI25" s="201"/>
      <c r="AJ25" s="201"/>
      <c r="AK25" s="201"/>
      <c r="AL25" s="161"/>
      <c r="AM25" s="161"/>
      <c r="AN25" s="161"/>
      <c r="AO25" s="161"/>
      <c r="AP25" s="161"/>
      <c r="AQ25" s="161"/>
    </row>
    <row r="26" spans="2:57" ht="55.2" x14ac:dyDescent="0.25">
      <c r="B26" s="6">
        <f t="shared" si="19"/>
        <v>23</v>
      </c>
      <c r="C26" s="84" t="s">
        <v>478</v>
      </c>
      <c r="D26" s="11" t="s">
        <v>379</v>
      </c>
      <c r="E26" s="11" t="s">
        <v>398</v>
      </c>
      <c r="F26" s="11" t="s">
        <v>266</v>
      </c>
      <c r="G26" s="6" t="s">
        <v>267</v>
      </c>
      <c r="H26" s="10">
        <v>43788</v>
      </c>
      <c r="I26" s="10">
        <v>44561</v>
      </c>
      <c r="J26" s="8" t="s">
        <v>268</v>
      </c>
      <c r="K26" s="6" t="s">
        <v>385</v>
      </c>
      <c r="L26" s="20" t="s">
        <v>455</v>
      </c>
      <c r="M26" s="77" t="s">
        <v>576</v>
      </c>
      <c r="N26" s="20" t="s">
        <v>456</v>
      </c>
      <c r="O26" s="51">
        <v>6489.7230959999997</v>
      </c>
      <c r="P26" s="43">
        <v>620</v>
      </c>
      <c r="Q26" s="43">
        <v>64</v>
      </c>
      <c r="R26" s="30" t="s">
        <v>383</v>
      </c>
      <c r="S26" s="42">
        <v>2145</v>
      </c>
      <c r="T26" s="42">
        <v>3257</v>
      </c>
      <c r="U26" s="41">
        <v>360</v>
      </c>
      <c r="V26" s="83">
        <v>24</v>
      </c>
      <c r="W26" s="41">
        <v>5</v>
      </c>
      <c r="X26" s="41">
        <v>531</v>
      </c>
      <c r="Y26" s="41">
        <v>612</v>
      </c>
      <c r="Z26" s="41">
        <v>210</v>
      </c>
      <c r="AA26" s="41">
        <v>85</v>
      </c>
      <c r="AB26" s="41">
        <v>4581</v>
      </c>
      <c r="AE26" s="161"/>
      <c r="AF26" s="200"/>
      <c r="AG26" s="201"/>
      <c r="AH26" s="201"/>
      <c r="AI26" s="201"/>
      <c r="AJ26" s="201"/>
      <c r="AK26" s="201"/>
      <c r="AL26" s="161"/>
      <c r="AM26" s="161"/>
      <c r="AN26" s="161"/>
      <c r="AO26" s="161"/>
      <c r="AP26" s="161"/>
      <c r="AQ26" s="161"/>
    </row>
    <row r="27" spans="2:57" ht="55.2" x14ac:dyDescent="0.25">
      <c r="B27" s="6">
        <f t="shared" si="19"/>
        <v>24</v>
      </c>
      <c r="C27" s="21" t="s">
        <v>479</v>
      </c>
      <c r="D27" s="11" t="s">
        <v>379</v>
      </c>
      <c r="E27" s="11" t="s">
        <v>398</v>
      </c>
      <c r="F27" s="11" t="s">
        <v>269</v>
      </c>
      <c r="G27" s="6" t="s">
        <v>270</v>
      </c>
      <c r="H27" s="10">
        <v>44197</v>
      </c>
      <c r="I27" s="10">
        <v>44561</v>
      </c>
      <c r="J27" s="8" t="s">
        <v>271</v>
      </c>
      <c r="K27" s="6" t="s">
        <v>385</v>
      </c>
      <c r="L27" s="20" t="s">
        <v>455</v>
      </c>
      <c r="M27" s="77" t="s">
        <v>577</v>
      </c>
      <c r="N27" s="20" t="s">
        <v>456</v>
      </c>
      <c r="O27" s="51">
        <v>6754.1988919999994</v>
      </c>
      <c r="P27" s="43">
        <v>360</v>
      </c>
      <c r="Q27" s="43">
        <v>64</v>
      </c>
      <c r="R27" s="30" t="s">
        <v>383</v>
      </c>
      <c r="S27" s="42">
        <v>1092</v>
      </c>
      <c r="T27" s="42">
        <v>2246</v>
      </c>
      <c r="U27" s="41">
        <v>330</v>
      </c>
      <c r="V27" s="41">
        <v>21</v>
      </c>
      <c r="W27" s="41">
        <v>3</v>
      </c>
      <c r="X27" s="41">
        <v>441</v>
      </c>
      <c r="Y27" s="41">
        <v>430</v>
      </c>
      <c r="Z27" s="41">
        <v>213</v>
      </c>
      <c r="AA27" s="41">
        <v>50</v>
      </c>
      <c r="AB27" s="41">
        <v>3708</v>
      </c>
      <c r="AE27" s="161"/>
      <c r="AF27" s="200"/>
      <c r="AG27" s="201"/>
      <c r="AH27" s="201"/>
      <c r="AI27" s="201"/>
      <c r="AJ27" s="201"/>
      <c r="AK27" s="201"/>
      <c r="AL27" s="161"/>
      <c r="AM27" s="161"/>
      <c r="AN27" s="161"/>
      <c r="AO27" s="161"/>
      <c r="AP27" s="161"/>
      <c r="AQ27" s="161"/>
    </row>
    <row r="28" spans="2:57" ht="55.2" x14ac:dyDescent="0.25">
      <c r="B28" s="6">
        <f t="shared" si="19"/>
        <v>25</v>
      </c>
      <c r="C28" s="21" t="s">
        <v>480</v>
      </c>
      <c r="D28" s="11" t="s">
        <v>379</v>
      </c>
      <c r="E28" s="11" t="s">
        <v>398</v>
      </c>
      <c r="F28" s="11" t="s">
        <v>272</v>
      </c>
      <c r="G28" s="6" t="s">
        <v>273</v>
      </c>
      <c r="H28" s="10">
        <v>44197</v>
      </c>
      <c r="I28" s="10">
        <v>44561</v>
      </c>
      <c r="J28" s="8" t="s">
        <v>274</v>
      </c>
      <c r="K28" s="6" t="s">
        <v>385</v>
      </c>
      <c r="L28" s="20" t="s">
        <v>455</v>
      </c>
      <c r="M28" s="77" t="s">
        <v>578</v>
      </c>
      <c r="N28" s="20" t="s">
        <v>456</v>
      </c>
      <c r="O28" s="51">
        <v>6070.5880260000004</v>
      </c>
      <c r="P28" s="43">
        <v>250</v>
      </c>
      <c r="Q28" s="43">
        <v>35</v>
      </c>
      <c r="R28" s="30" t="s">
        <v>383</v>
      </c>
      <c r="S28" s="42">
        <v>1709.79</v>
      </c>
      <c r="T28" s="42">
        <v>2109.52</v>
      </c>
      <c r="U28" s="41">
        <v>330</v>
      </c>
      <c r="V28" s="83">
        <v>6</v>
      </c>
      <c r="W28" s="41">
        <v>5</v>
      </c>
      <c r="X28" s="41">
        <v>225</v>
      </c>
      <c r="Y28" s="41">
        <v>229</v>
      </c>
      <c r="Z28" s="41">
        <v>66</v>
      </c>
      <c r="AA28" s="41">
        <v>17</v>
      </c>
      <c r="AB28" s="41">
        <v>3450</v>
      </c>
      <c r="AE28" s="161"/>
      <c r="AF28" s="200"/>
      <c r="AG28" s="201"/>
      <c r="AH28" s="201"/>
      <c r="AI28" s="201"/>
      <c r="AJ28" s="201"/>
      <c r="AK28" s="201"/>
      <c r="AL28" s="161"/>
      <c r="AM28" s="161"/>
      <c r="AN28" s="161"/>
      <c r="AO28" s="161"/>
      <c r="AP28" s="161"/>
      <c r="AQ28" s="161"/>
    </row>
    <row r="29" spans="2:57" ht="55.2" x14ac:dyDescent="0.25">
      <c r="B29" s="6">
        <f t="shared" si="19"/>
        <v>26</v>
      </c>
      <c r="C29" s="21" t="s">
        <v>481</v>
      </c>
      <c r="D29" s="11" t="s">
        <v>379</v>
      </c>
      <c r="E29" s="11" t="s">
        <v>398</v>
      </c>
      <c r="F29" s="11" t="s">
        <v>275</v>
      </c>
      <c r="G29" s="6" t="s">
        <v>276</v>
      </c>
      <c r="H29" s="10">
        <v>44197</v>
      </c>
      <c r="I29" s="10">
        <v>44561</v>
      </c>
      <c r="J29" s="8" t="s">
        <v>277</v>
      </c>
      <c r="K29" s="6" t="s">
        <v>385</v>
      </c>
      <c r="L29" s="20" t="s">
        <v>455</v>
      </c>
      <c r="M29" s="77" t="s">
        <v>579</v>
      </c>
      <c r="N29" s="20" t="s">
        <v>456</v>
      </c>
      <c r="O29" s="51">
        <v>9016.6814780000004</v>
      </c>
      <c r="P29" s="43">
        <v>120</v>
      </c>
      <c r="Q29" s="43">
        <v>27</v>
      </c>
      <c r="R29" s="30" t="s">
        <v>383</v>
      </c>
      <c r="S29" s="14">
        <v>540</v>
      </c>
      <c r="T29" s="14">
        <v>2953</v>
      </c>
      <c r="U29" s="41">
        <v>420</v>
      </c>
      <c r="V29" s="41">
        <v>20</v>
      </c>
      <c r="W29" s="41">
        <v>5</v>
      </c>
      <c r="X29" s="41">
        <v>235</v>
      </c>
      <c r="Y29" s="41">
        <v>267</v>
      </c>
      <c r="Z29" s="41">
        <v>27</v>
      </c>
      <c r="AA29" s="41">
        <v>6</v>
      </c>
      <c r="AB29" s="41">
        <v>2699</v>
      </c>
      <c r="AE29" s="161"/>
      <c r="AF29" s="200"/>
      <c r="AG29" s="201"/>
      <c r="AH29" s="201"/>
      <c r="AI29" s="201"/>
      <c r="AJ29" s="201"/>
      <c r="AK29" s="201"/>
      <c r="AL29" s="161"/>
      <c r="AM29" s="161"/>
      <c r="AN29" s="161"/>
      <c r="AO29" s="161"/>
      <c r="AP29" s="161"/>
      <c r="AQ29" s="161"/>
    </row>
    <row r="30" spans="2:57" ht="55.2" x14ac:dyDescent="0.25">
      <c r="B30" s="6">
        <f t="shared" si="19"/>
        <v>27</v>
      </c>
      <c r="C30" s="94" t="s">
        <v>482</v>
      </c>
      <c r="D30" s="11" t="s">
        <v>379</v>
      </c>
      <c r="E30" s="11" t="s">
        <v>397</v>
      </c>
      <c r="F30" s="93" t="s">
        <v>316</v>
      </c>
      <c r="G30" s="93" t="s">
        <v>310</v>
      </c>
      <c r="H30" s="95">
        <v>43788</v>
      </c>
      <c r="I30" s="95">
        <v>44561</v>
      </c>
      <c r="J30" s="94" t="s">
        <v>311</v>
      </c>
      <c r="K30" s="6" t="s">
        <v>385</v>
      </c>
      <c r="L30" s="20" t="s">
        <v>455</v>
      </c>
      <c r="M30" s="77" t="s">
        <v>580</v>
      </c>
      <c r="N30" s="20" t="s">
        <v>456</v>
      </c>
      <c r="O30" s="51">
        <v>6281.2392941899998</v>
      </c>
      <c r="P30" s="34">
        <v>624</v>
      </c>
      <c r="Q30" s="34">
        <v>85</v>
      </c>
      <c r="R30" s="34" t="s">
        <v>381</v>
      </c>
      <c r="S30" s="115">
        <v>2482.67</v>
      </c>
      <c r="T30" s="115">
        <v>5065.3900000000003</v>
      </c>
      <c r="U30" s="34">
        <v>6</v>
      </c>
      <c r="V30" s="34">
        <v>5</v>
      </c>
      <c r="W30" s="34">
        <v>0</v>
      </c>
      <c r="X30" s="86">
        <v>438</v>
      </c>
      <c r="Y30" s="86">
        <v>412</v>
      </c>
      <c r="Z30" s="86">
        <v>141</v>
      </c>
      <c r="AA30" s="86">
        <v>54</v>
      </c>
      <c r="AB30" s="86">
        <v>4198</v>
      </c>
      <c r="AE30" s="161"/>
      <c r="AF30" s="200"/>
      <c r="AG30" s="201"/>
      <c r="AH30" s="201"/>
      <c r="AI30" s="201"/>
      <c r="AJ30" s="201"/>
      <c r="AK30" s="201"/>
      <c r="AL30" s="161"/>
      <c r="AM30" s="161"/>
      <c r="AN30" s="161"/>
      <c r="AO30" s="161"/>
      <c r="AP30" s="161"/>
      <c r="AQ30" s="161"/>
    </row>
    <row r="31" spans="2:57" ht="55.2" x14ac:dyDescent="0.25">
      <c r="B31" s="6">
        <f t="shared" si="19"/>
        <v>28</v>
      </c>
      <c r="C31" s="94" t="s">
        <v>483</v>
      </c>
      <c r="D31" s="11" t="s">
        <v>379</v>
      </c>
      <c r="E31" s="11" t="s">
        <v>397</v>
      </c>
      <c r="F31" s="93" t="s">
        <v>317</v>
      </c>
      <c r="G31" s="93" t="s">
        <v>312</v>
      </c>
      <c r="H31" s="95">
        <v>43788</v>
      </c>
      <c r="I31" s="95">
        <v>44561</v>
      </c>
      <c r="J31" s="94" t="s">
        <v>313</v>
      </c>
      <c r="K31" s="6" t="s">
        <v>385</v>
      </c>
      <c r="L31" s="20" t="s">
        <v>455</v>
      </c>
      <c r="M31" s="77" t="s">
        <v>581</v>
      </c>
      <c r="N31" s="20" t="s">
        <v>456</v>
      </c>
      <c r="O31" s="51">
        <v>6278.5910000000003</v>
      </c>
      <c r="P31" s="34">
        <v>624</v>
      </c>
      <c r="Q31" s="34">
        <v>101</v>
      </c>
      <c r="R31" s="34" t="s">
        <v>382</v>
      </c>
      <c r="S31" s="115">
        <v>2892.93</v>
      </c>
      <c r="T31" s="115">
        <v>2892.93</v>
      </c>
      <c r="U31" s="34">
        <v>336</v>
      </c>
      <c r="V31" s="34">
        <v>0</v>
      </c>
      <c r="W31" s="34">
        <v>1</v>
      </c>
      <c r="X31" s="86">
        <v>624</v>
      </c>
      <c r="Y31" s="86">
        <v>594</v>
      </c>
      <c r="Z31" s="86">
        <v>341</v>
      </c>
      <c r="AA31" s="86">
        <v>88</v>
      </c>
      <c r="AB31" s="86">
        <v>4348</v>
      </c>
      <c r="AE31" s="161"/>
      <c r="AF31" s="200"/>
      <c r="AG31" s="201"/>
      <c r="AH31" s="201"/>
      <c r="AI31" s="201"/>
      <c r="AJ31" s="201"/>
      <c r="AK31" s="201"/>
      <c r="AL31" s="161"/>
      <c r="AM31" s="161"/>
      <c r="AN31" s="161"/>
      <c r="AO31" s="161"/>
      <c r="AP31" s="161"/>
      <c r="AQ31" s="161"/>
    </row>
    <row r="32" spans="2:57" ht="69" x14ac:dyDescent="0.25">
      <c r="B32" s="6">
        <f t="shared" si="19"/>
        <v>29</v>
      </c>
      <c r="C32" s="94" t="s">
        <v>488</v>
      </c>
      <c r="D32" s="11" t="s">
        <v>379</v>
      </c>
      <c r="E32" s="11" t="s">
        <v>397</v>
      </c>
      <c r="F32" s="93" t="s">
        <v>318</v>
      </c>
      <c r="G32" s="93" t="s">
        <v>314</v>
      </c>
      <c r="H32" s="95">
        <v>44197</v>
      </c>
      <c r="I32" s="95">
        <v>44561</v>
      </c>
      <c r="J32" s="94" t="s">
        <v>315</v>
      </c>
      <c r="K32" s="6" t="s">
        <v>385</v>
      </c>
      <c r="L32" s="20" t="s">
        <v>455</v>
      </c>
      <c r="M32" s="77" t="s">
        <v>582</v>
      </c>
      <c r="N32" s="20" t="s">
        <v>456</v>
      </c>
      <c r="O32" s="51">
        <v>7155.1900462799995</v>
      </c>
      <c r="P32" s="86">
        <v>524</v>
      </c>
      <c r="Q32" s="86">
        <v>103</v>
      </c>
      <c r="R32" s="30" t="s">
        <v>383</v>
      </c>
      <c r="S32" s="33">
        <v>1300</v>
      </c>
      <c r="T32" s="33">
        <v>2750</v>
      </c>
      <c r="U32" s="86">
        <v>480</v>
      </c>
      <c r="V32" s="34">
        <v>1</v>
      </c>
      <c r="W32" s="34">
        <v>2</v>
      </c>
      <c r="X32" s="86">
        <v>529</v>
      </c>
      <c r="Y32" s="86">
        <v>478</v>
      </c>
      <c r="Z32" s="86">
        <v>193</v>
      </c>
      <c r="AA32" s="86">
        <v>70</v>
      </c>
      <c r="AB32" s="86">
        <v>2413</v>
      </c>
      <c r="AE32" s="161"/>
      <c r="AF32" s="200"/>
      <c r="AG32" s="201"/>
      <c r="AH32" s="201"/>
      <c r="AI32" s="201"/>
      <c r="AJ32" s="201"/>
      <c r="AK32" s="201"/>
      <c r="AL32" s="161"/>
      <c r="AM32" s="161"/>
      <c r="AN32" s="161"/>
      <c r="AO32" s="161"/>
      <c r="AP32" s="161"/>
      <c r="AQ32" s="161"/>
    </row>
    <row r="33" spans="2:43" ht="55.2" x14ac:dyDescent="0.25">
      <c r="B33" s="6">
        <f t="shared" si="19"/>
        <v>30</v>
      </c>
      <c r="C33" s="94" t="s">
        <v>484</v>
      </c>
      <c r="D33" s="11" t="s">
        <v>379</v>
      </c>
      <c r="E33" s="11" t="s">
        <v>394</v>
      </c>
      <c r="F33" s="11" t="s">
        <v>409</v>
      </c>
      <c r="G33" s="35" t="s">
        <v>410</v>
      </c>
      <c r="H33" s="117">
        <v>44197</v>
      </c>
      <c r="I33" s="117">
        <v>44440</v>
      </c>
      <c r="J33" s="118" t="s">
        <v>411</v>
      </c>
      <c r="K33" s="6" t="s">
        <v>385</v>
      </c>
      <c r="L33" s="20" t="s">
        <v>455</v>
      </c>
      <c r="M33" s="77" t="s">
        <v>583</v>
      </c>
      <c r="N33" s="20" t="s">
        <v>456</v>
      </c>
      <c r="O33" s="51">
        <v>7085.2249720000009</v>
      </c>
      <c r="P33" s="34">
        <v>520</v>
      </c>
      <c r="Q33" s="86">
        <v>74</v>
      </c>
      <c r="R33" s="30" t="s">
        <v>383</v>
      </c>
      <c r="S33" s="33">
        <v>2575.7600000000002</v>
      </c>
      <c r="T33" s="33">
        <v>5431.24</v>
      </c>
      <c r="U33" s="34">
        <v>210</v>
      </c>
      <c r="V33" s="34">
        <v>0</v>
      </c>
      <c r="W33" s="34">
        <v>0</v>
      </c>
      <c r="X33" s="34">
        <v>354</v>
      </c>
      <c r="Y33" s="34">
        <v>406</v>
      </c>
      <c r="Z33" s="86">
        <v>180</v>
      </c>
      <c r="AA33" s="86">
        <v>71</v>
      </c>
      <c r="AB33" s="86">
        <v>4672</v>
      </c>
      <c r="AE33" s="161"/>
      <c r="AF33" s="200"/>
      <c r="AG33" s="201"/>
      <c r="AH33" s="201"/>
      <c r="AI33" s="201"/>
      <c r="AJ33" s="201"/>
      <c r="AK33" s="201"/>
      <c r="AL33" s="161"/>
      <c r="AM33" s="161"/>
      <c r="AN33" s="161"/>
      <c r="AO33" s="161"/>
      <c r="AP33" s="161"/>
      <c r="AQ33" s="161"/>
    </row>
    <row r="34" spans="2:43" ht="69" x14ac:dyDescent="0.25">
      <c r="B34" s="6">
        <f t="shared" si="19"/>
        <v>31</v>
      </c>
      <c r="C34" s="94" t="s">
        <v>489</v>
      </c>
      <c r="D34" s="11" t="s">
        <v>379</v>
      </c>
      <c r="E34" s="11" t="s">
        <v>395</v>
      </c>
      <c r="F34" s="82" t="s">
        <v>428</v>
      </c>
      <c r="G34" s="82" t="s">
        <v>429</v>
      </c>
      <c r="H34" s="117">
        <v>43976</v>
      </c>
      <c r="I34" s="117">
        <v>44440</v>
      </c>
      <c r="J34" s="118" t="s">
        <v>430</v>
      </c>
      <c r="K34" s="6" t="s">
        <v>385</v>
      </c>
      <c r="L34" s="20" t="s">
        <v>455</v>
      </c>
      <c r="M34" s="77" t="s">
        <v>584</v>
      </c>
      <c r="N34" s="20" t="s">
        <v>457</v>
      </c>
      <c r="O34" s="51">
        <v>8822.7937899999997</v>
      </c>
      <c r="P34" s="86">
        <v>840</v>
      </c>
      <c r="Q34" s="86">
        <v>110</v>
      </c>
      <c r="R34" s="30" t="s">
        <v>383</v>
      </c>
      <c r="S34" s="115">
        <v>1950</v>
      </c>
      <c r="T34" s="115">
        <v>4950</v>
      </c>
      <c r="U34" s="86">
        <v>424</v>
      </c>
      <c r="V34" s="86">
        <v>20</v>
      </c>
      <c r="W34" s="86">
        <v>4</v>
      </c>
      <c r="X34" s="86">
        <v>845</v>
      </c>
      <c r="Y34" s="86">
        <v>587</v>
      </c>
      <c r="Z34" s="86">
        <v>383</v>
      </c>
      <c r="AA34" s="86">
        <v>190</v>
      </c>
      <c r="AB34" s="86">
        <v>2689</v>
      </c>
      <c r="AE34" s="161"/>
      <c r="AF34" s="200"/>
      <c r="AG34" s="201"/>
      <c r="AH34" s="201"/>
      <c r="AI34" s="201"/>
      <c r="AJ34" s="201"/>
      <c r="AK34" s="201"/>
      <c r="AL34" s="161"/>
      <c r="AM34" s="161"/>
      <c r="AN34" s="161"/>
      <c r="AO34" s="161"/>
      <c r="AP34" s="161"/>
      <c r="AQ34" s="161"/>
    </row>
    <row r="35" spans="2:43" ht="69" x14ac:dyDescent="0.25">
      <c r="B35" s="6">
        <f t="shared" si="19"/>
        <v>32</v>
      </c>
      <c r="C35" s="94" t="s">
        <v>490</v>
      </c>
      <c r="D35" s="11" t="s">
        <v>379</v>
      </c>
      <c r="E35" s="11" t="s">
        <v>395</v>
      </c>
      <c r="F35" s="82" t="s">
        <v>424</v>
      </c>
      <c r="G35" s="82" t="s">
        <v>425</v>
      </c>
      <c r="H35" s="117">
        <v>44547</v>
      </c>
      <c r="I35" s="117">
        <v>44635</v>
      </c>
      <c r="J35" s="118" t="s">
        <v>426</v>
      </c>
      <c r="K35" s="6" t="s">
        <v>385</v>
      </c>
      <c r="L35" s="20" t="s">
        <v>455</v>
      </c>
      <c r="M35" s="77" t="s">
        <v>585</v>
      </c>
      <c r="N35" s="20" t="s">
        <v>457</v>
      </c>
      <c r="O35" s="51">
        <v>6605.82755275</v>
      </c>
      <c r="P35" s="86">
        <v>320</v>
      </c>
      <c r="Q35" s="86">
        <v>66</v>
      </c>
      <c r="R35" s="30" t="s">
        <v>383</v>
      </c>
      <c r="S35" s="115">
        <v>1680</v>
      </c>
      <c r="T35" s="115">
        <v>4536</v>
      </c>
      <c r="U35" s="86">
        <v>540</v>
      </c>
      <c r="V35" s="86">
        <v>27</v>
      </c>
      <c r="W35" s="86">
        <v>6</v>
      </c>
      <c r="X35" s="86">
        <v>739</v>
      </c>
      <c r="Y35" s="86">
        <v>726</v>
      </c>
      <c r="Z35" s="86">
        <v>67</v>
      </c>
      <c r="AA35" s="86">
        <v>25</v>
      </c>
      <c r="AB35" s="86">
        <v>3699</v>
      </c>
      <c r="AE35" s="161"/>
      <c r="AF35" s="200"/>
      <c r="AG35" s="201"/>
      <c r="AH35" s="201"/>
      <c r="AI35" s="201"/>
      <c r="AJ35" s="201"/>
      <c r="AK35" s="201"/>
      <c r="AL35" s="161"/>
      <c r="AM35" s="161"/>
      <c r="AN35" s="161"/>
      <c r="AO35" s="161"/>
      <c r="AP35" s="161"/>
      <c r="AQ35" s="161"/>
    </row>
    <row r="36" spans="2:43" ht="69" x14ac:dyDescent="0.25">
      <c r="B36" s="6">
        <f t="shared" si="19"/>
        <v>33</v>
      </c>
      <c r="C36" s="94" t="s">
        <v>491</v>
      </c>
      <c r="D36" s="11" t="s">
        <v>379</v>
      </c>
      <c r="E36" s="11" t="s">
        <v>395</v>
      </c>
      <c r="F36" s="82" t="s">
        <v>424</v>
      </c>
      <c r="G36" s="82" t="s">
        <v>425</v>
      </c>
      <c r="H36" s="117">
        <v>44454</v>
      </c>
      <c r="I36" s="117">
        <v>44630</v>
      </c>
      <c r="J36" s="118" t="s">
        <v>427</v>
      </c>
      <c r="K36" s="6" t="s">
        <v>385</v>
      </c>
      <c r="L36" s="20" t="s">
        <v>455</v>
      </c>
      <c r="M36" s="77" t="s">
        <v>586</v>
      </c>
      <c r="N36" s="20" t="s">
        <v>457</v>
      </c>
      <c r="O36" s="51">
        <v>6157.6289210000004</v>
      </c>
      <c r="P36" s="86">
        <v>960</v>
      </c>
      <c r="Q36" s="86">
        <v>115</v>
      </c>
      <c r="R36" s="30" t="s">
        <v>383</v>
      </c>
      <c r="S36" s="115">
        <v>9324</v>
      </c>
      <c r="T36" s="115">
        <v>15529</v>
      </c>
      <c r="U36" s="86">
        <v>540</v>
      </c>
      <c r="V36" s="86">
        <v>27</v>
      </c>
      <c r="W36" s="86">
        <v>6</v>
      </c>
      <c r="X36" s="86">
        <v>1223</v>
      </c>
      <c r="Y36" s="86">
        <v>1048</v>
      </c>
      <c r="Z36" s="86">
        <v>140</v>
      </c>
      <c r="AA36" s="86">
        <v>65</v>
      </c>
      <c r="AB36" s="86">
        <v>13787</v>
      </c>
      <c r="AE36" s="161"/>
      <c r="AF36" s="200"/>
      <c r="AG36" s="201"/>
      <c r="AH36" s="201"/>
      <c r="AI36" s="201"/>
      <c r="AJ36" s="201"/>
      <c r="AK36" s="201"/>
      <c r="AL36" s="161"/>
      <c r="AM36" s="161"/>
      <c r="AN36" s="161"/>
      <c r="AO36" s="161"/>
      <c r="AP36" s="161"/>
      <c r="AQ36" s="161"/>
    </row>
    <row r="37" spans="2:43" x14ac:dyDescent="0.3">
      <c r="G37" s="3"/>
      <c r="H37" s="3"/>
      <c r="I37" s="3"/>
      <c r="K37" s="3"/>
      <c r="O37" s="169">
        <f>+SUM(O4:O36)</f>
        <v>247805.30566231004</v>
      </c>
      <c r="P37" s="166">
        <f>+SUM(P4:P36)</f>
        <v>18051</v>
      </c>
      <c r="Q37" s="166">
        <f>+SUM(Q4:Q36)</f>
        <v>2404</v>
      </c>
      <c r="R37" s="3"/>
      <c r="S37" s="166">
        <f t="shared" ref="S37:AB37" si="29">+SUM(S4:S36)</f>
        <v>82604.149999999994</v>
      </c>
      <c r="T37" s="166">
        <f t="shared" si="29"/>
        <v>148419.45000000001</v>
      </c>
      <c r="U37" s="166">
        <f t="shared" si="29"/>
        <v>11929</v>
      </c>
      <c r="V37" s="166">
        <f t="shared" si="29"/>
        <v>626</v>
      </c>
      <c r="W37" s="166">
        <f t="shared" si="29"/>
        <v>158</v>
      </c>
      <c r="X37" s="166">
        <f t="shared" si="29"/>
        <v>18923</v>
      </c>
      <c r="Y37" s="166">
        <f t="shared" si="29"/>
        <v>17484</v>
      </c>
      <c r="Z37" s="166">
        <f t="shared" si="29"/>
        <v>5476</v>
      </c>
      <c r="AA37" s="166">
        <f t="shared" si="29"/>
        <v>2040</v>
      </c>
      <c r="AB37" s="166">
        <f t="shared" si="29"/>
        <v>160193</v>
      </c>
    </row>
  </sheetData>
  <autoFilter ref="B2:AB37" xr:uid="{00000000-0001-0000-0000-000000000000}">
    <filterColumn colId="17" showButton="0"/>
    <filterColumn colId="20" showButton="0"/>
    <filterColumn colId="22" showButton="0"/>
  </autoFilter>
  <mergeCells count="32">
    <mergeCell ref="Q2:Q3"/>
    <mergeCell ref="P2:P3"/>
    <mergeCell ref="L2:L3"/>
    <mergeCell ref="O2:O3"/>
    <mergeCell ref="F2:F3"/>
    <mergeCell ref="H2:H3"/>
    <mergeCell ref="I2:I3"/>
    <mergeCell ref="J2:J3"/>
    <mergeCell ref="N2:N3"/>
    <mergeCell ref="K2:K3"/>
    <mergeCell ref="M2:M3"/>
    <mergeCell ref="B2:B3"/>
    <mergeCell ref="C2:C3"/>
    <mergeCell ref="AP2:AT2"/>
    <mergeCell ref="AF2:AO2"/>
    <mergeCell ref="AA2:AA3"/>
    <mergeCell ref="AB2:AB3"/>
    <mergeCell ref="V2:W2"/>
    <mergeCell ref="AE2:AE3"/>
    <mergeCell ref="X2:Y2"/>
    <mergeCell ref="Z2:Z3"/>
    <mergeCell ref="U2:U3"/>
    <mergeCell ref="S2:T2"/>
    <mergeCell ref="R2:R3"/>
    <mergeCell ref="G2:G3"/>
    <mergeCell ref="D2:D3"/>
    <mergeCell ref="E2:E3"/>
    <mergeCell ref="BE2:BE3"/>
    <mergeCell ref="BA2:BB2"/>
    <mergeCell ref="AU2:AZ2"/>
    <mergeCell ref="BC2:BC3"/>
    <mergeCell ref="BD2:BD3"/>
  </mergeCell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'1'!$B$3:$B$4</xm:f>
          </x14:formula1>
          <xm:sqref>K4:K36</xm:sqref>
        </x14:dataValidation>
        <x14:dataValidation type="list" allowBlank="1" showInputMessage="1" showErrorMessage="1" xr:uid="{00000000-0002-0000-0000-000001000000}">
          <x14:formula1>
            <xm:f>'1'!$B$11:$B$15</xm:f>
          </x14:formula1>
          <xm:sqref>D4:D36</xm:sqref>
        </x14:dataValidation>
        <x14:dataValidation type="list" allowBlank="1" showInputMessage="1" showErrorMessage="1" xr:uid="{00000000-0002-0000-0000-000002000000}">
          <x14:formula1>
            <xm:f>'1'!$B$17:$B$30</xm:f>
          </x14:formula1>
          <xm:sqref>E4:E36</xm:sqref>
        </x14:dataValidation>
        <x14:dataValidation type="list" allowBlank="1" showInputMessage="1" showErrorMessage="1" xr:uid="{00000000-0002-0000-0000-000004000000}">
          <x14:formula1>
            <xm:f>'1'!$B$7:$B$9</xm:f>
          </x14:formula1>
          <xm:sqref>R4:R36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K39"/>
  <sheetViews>
    <sheetView showGridLines="0" topLeftCell="A3" zoomScale="69" zoomScaleNormal="53" workbookViewId="0">
      <selection activeCell="E9" sqref="E9"/>
    </sheetView>
  </sheetViews>
  <sheetFormatPr defaultColWidth="8.77734375" defaultRowHeight="13.8" x14ac:dyDescent="0.3"/>
  <cols>
    <col min="1" max="2" width="8.77734375" style="3"/>
    <col min="3" max="3" width="34.6640625" style="3" customWidth="1"/>
    <col min="4" max="4" width="26.44140625" style="65" customWidth="1"/>
    <col min="5" max="5" width="23.44140625" style="27" customWidth="1"/>
    <col min="6" max="7" width="21" style="3" hidden="1" customWidth="1"/>
    <col min="8" max="8" width="20.44140625" style="3" customWidth="1"/>
    <col min="9" max="9" width="15.44140625" style="3" customWidth="1"/>
    <col min="10" max="10" width="21.109375" style="27" hidden="1" customWidth="1"/>
    <col min="11" max="12" width="19.44140625" style="3" customWidth="1"/>
    <col min="13" max="13" width="39.44140625" style="3" customWidth="1"/>
    <col min="14" max="15" width="19.44140625" style="3" customWidth="1"/>
    <col min="16" max="17" width="15.33203125" style="5" customWidth="1"/>
    <col min="18" max="18" width="26.44140625" style="5" customWidth="1"/>
    <col min="19" max="20" width="16.44140625" style="52" customWidth="1"/>
    <col min="21" max="21" width="23.44140625" style="5" customWidth="1"/>
    <col min="22" max="22" width="18.6640625" style="5" customWidth="1"/>
    <col min="23" max="23" width="22" style="5" customWidth="1"/>
    <col min="24" max="24" width="14.33203125" style="5" customWidth="1"/>
    <col min="25" max="25" width="12.77734375" style="5" customWidth="1"/>
    <col min="26" max="27" width="26.33203125" style="5" customWidth="1"/>
    <col min="28" max="28" width="28" style="5" customWidth="1"/>
    <col min="29" max="29" width="47.33203125" style="3" customWidth="1"/>
    <col min="30" max="30" width="15" style="3" bestFit="1" customWidth="1"/>
    <col min="31" max="31" width="14.77734375" style="3" bestFit="1" customWidth="1"/>
    <col min="32" max="32" width="6.77734375" style="3" bestFit="1" customWidth="1"/>
    <col min="33" max="33" width="12.109375" style="3" bestFit="1" customWidth="1"/>
    <col min="34" max="34" width="8.44140625" style="3" bestFit="1" customWidth="1"/>
    <col min="35" max="35" width="12.109375" style="3" bestFit="1" customWidth="1"/>
    <col min="36" max="36" width="8.44140625" style="3" bestFit="1" customWidth="1"/>
    <col min="37" max="37" width="13.6640625" style="3" customWidth="1"/>
    <col min="38" max="38" width="8.44140625" style="3" bestFit="1" customWidth="1"/>
    <col min="39" max="39" width="14.44140625" style="3" bestFit="1" customWidth="1"/>
    <col min="40" max="40" width="8.44140625" style="3" bestFit="1" customWidth="1"/>
    <col min="41" max="41" width="11.6640625" style="3" customWidth="1"/>
    <col min="42" max="42" width="10.44140625" style="3" bestFit="1" customWidth="1"/>
    <col min="43" max="43" width="10.109375" style="3" bestFit="1" customWidth="1"/>
    <col min="44" max="44" width="14.44140625" style="3" bestFit="1" customWidth="1"/>
    <col min="45" max="45" width="10" style="3" bestFit="1" customWidth="1"/>
    <col min="46" max="46" width="10.77734375" style="3" customWidth="1"/>
    <col min="47" max="47" width="9.109375" style="3" customWidth="1"/>
    <col min="48" max="48" width="11.33203125" style="3" bestFit="1" customWidth="1"/>
    <col min="49" max="49" width="15.44140625" style="3" bestFit="1" customWidth="1"/>
    <col min="50" max="51" width="8.44140625" style="3" bestFit="1" customWidth="1"/>
    <col min="52" max="52" width="11.77734375" style="3" customWidth="1"/>
    <col min="53" max="53" width="12.33203125" style="3" customWidth="1"/>
    <col min="54" max="54" width="12.6640625" style="3" customWidth="1"/>
    <col min="55" max="55" width="16.6640625" style="3" customWidth="1"/>
    <col min="56" max="59" width="8.77734375" style="3"/>
    <col min="60" max="60" width="6.33203125" style="3" bestFit="1" customWidth="1"/>
    <col min="61" max="61" width="12.109375" style="3" bestFit="1" customWidth="1"/>
    <col min="62" max="62" width="8.44140625" style="3" bestFit="1" customWidth="1"/>
    <col min="63" max="63" width="12.44140625" style="3" bestFit="1" customWidth="1"/>
    <col min="64" max="64" width="8.44140625" style="3" bestFit="1" customWidth="1"/>
    <col min="65" max="65" width="14.44140625" style="3" bestFit="1" customWidth="1"/>
    <col min="66" max="66" width="8.44140625" style="3" bestFit="1" customWidth="1"/>
    <col min="67" max="67" width="11.109375" style="3" customWidth="1"/>
    <col min="68" max="68" width="13.6640625" style="3" bestFit="1" customWidth="1"/>
    <col min="69" max="69" width="16.6640625" style="3" bestFit="1" customWidth="1"/>
    <col min="70" max="70" width="10.6640625" style="3" bestFit="1" customWidth="1"/>
    <col min="71" max="71" width="8.44140625" style="3" bestFit="1" customWidth="1"/>
    <col min="72" max="72" width="12.6640625" style="3" bestFit="1" customWidth="1"/>
    <col min="73" max="73" width="8.44140625" style="3" bestFit="1" customWidth="1"/>
    <col min="74" max="74" width="16.6640625" style="3" bestFit="1" customWidth="1"/>
    <col min="75" max="75" width="8.44140625" style="3" bestFit="1" customWidth="1"/>
    <col min="76" max="76" width="7.77734375" style="3" bestFit="1" customWidth="1"/>
    <col min="77" max="77" width="8.44140625" style="3" bestFit="1" customWidth="1"/>
    <col min="78" max="78" width="12.44140625" style="3" customWidth="1"/>
    <col min="79" max="79" width="8.44140625" style="3" bestFit="1" customWidth="1"/>
    <col min="80" max="80" width="12.33203125" style="3" bestFit="1" customWidth="1"/>
    <col min="81" max="81" width="8.44140625" style="3" bestFit="1" customWidth="1"/>
    <col min="82" max="82" width="12.77734375" style="3" bestFit="1" customWidth="1"/>
    <col min="83" max="83" width="8.44140625" style="3" bestFit="1" customWidth="1"/>
    <col min="84" max="84" width="13.33203125" style="3" bestFit="1" customWidth="1"/>
    <col min="85" max="85" width="8.44140625" style="3" bestFit="1" customWidth="1"/>
    <col min="86" max="86" width="9.6640625" style="3" bestFit="1" customWidth="1"/>
    <col min="87" max="87" width="8.44140625" style="3" bestFit="1" customWidth="1"/>
    <col min="88" max="88" width="16.109375" style="3" bestFit="1" customWidth="1"/>
    <col min="89" max="89" width="8.44140625" style="3" bestFit="1" customWidth="1"/>
    <col min="90" max="16384" width="8.77734375" style="3"/>
  </cols>
  <sheetData>
    <row r="1" spans="2:89" x14ac:dyDescent="0.3">
      <c r="B1" s="2" t="s">
        <v>587</v>
      </c>
    </row>
    <row r="2" spans="2:89" s="4" customFormat="1" ht="57.45" customHeight="1" x14ac:dyDescent="0.3">
      <c r="B2" s="423" t="s">
        <v>431</v>
      </c>
      <c r="C2" s="423" t="s">
        <v>400</v>
      </c>
      <c r="D2" s="423" t="s">
        <v>432</v>
      </c>
      <c r="E2" s="423" t="s">
        <v>433</v>
      </c>
      <c r="F2" s="423" t="s">
        <v>434</v>
      </c>
      <c r="G2" s="423" t="s">
        <v>435</v>
      </c>
      <c r="H2" s="423" t="s">
        <v>436</v>
      </c>
      <c r="I2" s="423" t="s">
        <v>437</v>
      </c>
      <c r="J2" s="423" t="s">
        <v>438</v>
      </c>
      <c r="K2" s="423" t="s">
        <v>439</v>
      </c>
      <c r="L2" s="423" t="s">
        <v>403</v>
      </c>
      <c r="M2" s="423" t="s">
        <v>401</v>
      </c>
      <c r="N2" s="423" t="s">
        <v>402</v>
      </c>
      <c r="O2" s="438" t="s">
        <v>769</v>
      </c>
      <c r="P2" s="437" t="s">
        <v>454</v>
      </c>
      <c r="Q2" s="435" t="s">
        <v>440</v>
      </c>
      <c r="R2" s="428" t="s">
        <v>441</v>
      </c>
      <c r="S2" s="433" t="s">
        <v>674</v>
      </c>
      <c r="T2" s="434"/>
      <c r="U2" s="428" t="s">
        <v>444</v>
      </c>
      <c r="V2" s="430" t="s">
        <v>445</v>
      </c>
      <c r="W2" s="431"/>
      <c r="X2" s="430" t="s">
        <v>448</v>
      </c>
      <c r="Y2" s="431"/>
      <c r="Z2" s="428" t="s">
        <v>795</v>
      </c>
      <c r="AA2" s="428" t="s">
        <v>953</v>
      </c>
      <c r="AB2" s="428" t="s">
        <v>452</v>
      </c>
      <c r="AD2" s="432" t="s">
        <v>761</v>
      </c>
      <c r="AE2" s="425" t="s">
        <v>773</v>
      </c>
      <c r="AF2" s="426"/>
      <c r="AG2" s="426"/>
      <c r="AH2" s="426"/>
      <c r="AI2" s="426"/>
      <c r="AJ2" s="426"/>
      <c r="AK2" s="426"/>
      <c r="AL2" s="426"/>
      <c r="AM2" s="426"/>
      <c r="AN2" s="427"/>
      <c r="AO2" s="419" t="s">
        <v>765</v>
      </c>
      <c r="AP2" s="421"/>
      <c r="AQ2" s="421"/>
      <c r="AR2" s="421"/>
      <c r="AS2" s="420"/>
      <c r="AT2" s="419" t="s">
        <v>768</v>
      </c>
      <c r="AU2" s="421"/>
      <c r="AV2" s="421"/>
      <c r="AW2" s="421"/>
      <c r="AX2" s="421"/>
      <c r="AY2" s="420"/>
      <c r="AZ2" s="419" t="s">
        <v>780</v>
      </c>
      <c r="BA2" s="420"/>
      <c r="BB2" s="440" t="s">
        <v>954</v>
      </c>
      <c r="BC2" s="418" t="s">
        <v>793</v>
      </c>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row>
    <row r="3" spans="2:89" s="4" customFormat="1" ht="37.950000000000003" customHeight="1" x14ac:dyDescent="0.3">
      <c r="B3" s="424"/>
      <c r="C3" s="424"/>
      <c r="D3" s="424"/>
      <c r="E3" s="424"/>
      <c r="F3" s="424"/>
      <c r="G3" s="424"/>
      <c r="H3" s="424"/>
      <c r="I3" s="424"/>
      <c r="J3" s="424"/>
      <c r="K3" s="424"/>
      <c r="L3" s="424"/>
      <c r="M3" s="424"/>
      <c r="N3" s="424"/>
      <c r="O3" s="439"/>
      <c r="P3" s="437"/>
      <c r="Q3" s="436"/>
      <c r="R3" s="429"/>
      <c r="S3" s="133" t="s">
        <v>442</v>
      </c>
      <c r="T3" s="133" t="s">
        <v>443</v>
      </c>
      <c r="U3" s="429"/>
      <c r="V3" s="132" t="s">
        <v>446</v>
      </c>
      <c r="W3" s="132" t="s">
        <v>447</v>
      </c>
      <c r="X3" s="132" t="s">
        <v>449</v>
      </c>
      <c r="Y3" s="132" t="s">
        <v>450</v>
      </c>
      <c r="Z3" s="429"/>
      <c r="AA3" s="429"/>
      <c r="AB3" s="429"/>
      <c r="AD3" s="432"/>
      <c r="AE3" s="163" t="s">
        <v>779</v>
      </c>
      <c r="AF3" s="179" t="s">
        <v>763</v>
      </c>
      <c r="AG3" s="182" t="s">
        <v>777</v>
      </c>
      <c r="AH3" s="179" t="s">
        <v>763</v>
      </c>
      <c r="AI3" s="182" t="s">
        <v>778</v>
      </c>
      <c r="AJ3" s="179" t="s">
        <v>763</v>
      </c>
      <c r="AK3" s="182" t="s">
        <v>775</v>
      </c>
      <c r="AL3" s="179" t="s">
        <v>763</v>
      </c>
      <c r="AM3" s="182" t="s">
        <v>776</v>
      </c>
      <c r="AN3" s="164" t="s">
        <v>763</v>
      </c>
      <c r="AO3" s="182" t="s">
        <v>791</v>
      </c>
      <c r="AP3" s="163" t="s">
        <v>771</v>
      </c>
      <c r="AQ3" s="164" t="s">
        <v>762</v>
      </c>
      <c r="AR3" s="164" t="s">
        <v>803</v>
      </c>
      <c r="AS3" s="208" t="s">
        <v>792</v>
      </c>
      <c r="AT3" s="182" t="s">
        <v>766</v>
      </c>
      <c r="AU3" s="163" t="s">
        <v>767</v>
      </c>
      <c r="AV3" s="185" t="s">
        <v>774</v>
      </c>
      <c r="AW3" s="163" t="s">
        <v>781</v>
      </c>
      <c r="AX3" s="165" t="s">
        <v>449</v>
      </c>
      <c r="AY3" s="192" t="s">
        <v>450</v>
      </c>
      <c r="AZ3" s="194" t="s">
        <v>442</v>
      </c>
      <c r="BA3" s="192" t="s">
        <v>443</v>
      </c>
      <c r="BB3" s="440"/>
      <c r="BC3" s="418"/>
      <c r="BD3" s="131"/>
      <c r="BE3" s="131"/>
      <c r="BF3" s="131"/>
      <c r="BG3" s="131"/>
      <c r="BH3" s="178" t="s">
        <v>757</v>
      </c>
      <c r="BI3" s="165" t="s">
        <v>758</v>
      </c>
      <c r="BJ3" s="164" t="s">
        <v>763</v>
      </c>
      <c r="BK3" s="162" t="s">
        <v>458</v>
      </c>
      <c r="BL3" s="203" t="s">
        <v>763</v>
      </c>
      <c r="BM3" s="162" t="s">
        <v>455</v>
      </c>
      <c r="BN3" s="204" t="s">
        <v>763</v>
      </c>
      <c r="BO3" s="182" t="s">
        <v>790</v>
      </c>
      <c r="BP3" s="163" t="s">
        <v>759</v>
      </c>
      <c r="BQ3" s="185" t="s">
        <v>760</v>
      </c>
      <c r="BR3" s="194" t="s">
        <v>791</v>
      </c>
      <c r="BS3" s="206" t="s">
        <v>763</v>
      </c>
      <c r="BT3" s="163" t="s">
        <v>785</v>
      </c>
      <c r="BU3" s="164" t="s">
        <v>763</v>
      </c>
      <c r="BV3" s="163" t="s">
        <v>786</v>
      </c>
      <c r="BW3" s="164" t="s">
        <v>763</v>
      </c>
      <c r="BX3" s="165" t="s">
        <v>772</v>
      </c>
      <c r="BY3" s="179" t="s">
        <v>763</v>
      </c>
      <c r="BZ3" s="163" t="s">
        <v>766</v>
      </c>
      <c r="CA3" s="164" t="s">
        <v>763</v>
      </c>
      <c r="CB3" s="163" t="s">
        <v>787</v>
      </c>
      <c r="CC3" s="164" t="s">
        <v>763</v>
      </c>
      <c r="CD3" s="165" t="s">
        <v>788</v>
      </c>
      <c r="CE3" s="164" t="s">
        <v>763</v>
      </c>
      <c r="CF3" s="165" t="s">
        <v>789</v>
      </c>
      <c r="CG3" s="179" t="s">
        <v>763</v>
      </c>
      <c r="CH3" s="194" t="s">
        <v>794</v>
      </c>
      <c r="CI3" s="179" t="s">
        <v>763</v>
      </c>
      <c r="CJ3" s="165" t="s">
        <v>793</v>
      </c>
      <c r="CK3" s="179" t="s">
        <v>763</v>
      </c>
    </row>
    <row r="4" spans="2:89" s="16" customFormat="1" ht="69" x14ac:dyDescent="0.3">
      <c r="B4" s="6">
        <v>1</v>
      </c>
      <c r="C4" s="47" t="s">
        <v>501</v>
      </c>
      <c r="D4" s="11" t="s">
        <v>379</v>
      </c>
      <c r="E4" s="6" t="s">
        <v>396</v>
      </c>
      <c r="F4" s="8" t="s">
        <v>45</v>
      </c>
      <c r="G4" s="26" t="s">
        <v>51</v>
      </c>
      <c r="H4" s="10">
        <v>44392</v>
      </c>
      <c r="I4" s="10">
        <v>44560</v>
      </c>
      <c r="J4" s="17" t="s">
        <v>10</v>
      </c>
      <c r="K4" s="6" t="s">
        <v>385</v>
      </c>
      <c r="L4" s="20" t="s">
        <v>458</v>
      </c>
      <c r="M4" s="121" t="s">
        <v>492</v>
      </c>
      <c r="N4" s="20" t="s">
        <v>457</v>
      </c>
      <c r="O4" s="20">
        <v>6211.6390190000002</v>
      </c>
      <c r="P4" s="13">
        <v>0</v>
      </c>
      <c r="Q4" s="13">
        <v>0</v>
      </c>
      <c r="R4" s="46" t="s">
        <v>381</v>
      </c>
      <c r="S4" s="14">
        <v>0</v>
      </c>
      <c r="T4" s="14">
        <v>1133</v>
      </c>
      <c r="U4" s="13">
        <v>180</v>
      </c>
      <c r="V4" s="13">
        <v>12</v>
      </c>
      <c r="W4" s="13">
        <v>19</v>
      </c>
      <c r="X4" s="13">
        <v>95</v>
      </c>
      <c r="Y4" s="13">
        <v>85</v>
      </c>
      <c r="Z4" s="13">
        <v>40</v>
      </c>
      <c r="AA4" s="13">
        <f>+Z4</f>
        <v>40</v>
      </c>
      <c r="AB4" s="20">
        <v>2074</v>
      </c>
      <c r="AD4" s="16" t="s">
        <v>386</v>
      </c>
      <c r="AE4" s="183">
        <f>+SUMIFS($O$4:$O$38,$E$4:$E$38,AD4)</f>
        <v>29426.822201673502</v>
      </c>
      <c r="AF4" s="180">
        <f>+AE4/$AE$18</f>
        <v>0.15401129280822093</v>
      </c>
      <c r="AG4" s="183">
        <f>+SUMIFS($O$4:$O$38,$E$4:$E$38,AD4,$N$4:$N$38,$N$8)</f>
        <v>17929.3930996735</v>
      </c>
      <c r="AH4" s="180">
        <f>+AG4/$AG$18</f>
        <v>0.15878358991783645</v>
      </c>
      <c r="AI4" s="183">
        <f>+SUMIFS($O$4:$O$38,$E$4:$E$38,AD4,$N$4:$N$38,$N$4)</f>
        <v>11497.429101999998</v>
      </c>
      <c r="AJ4" s="180">
        <f>+AI4/$AI$18</f>
        <v>0.14711609249645941</v>
      </c>
      <c r="AK4" s="183">
        <f>+SUMIFS($O$4:$O$38,$E$4:$E$38,AD4,$L$4:$L$38,$L$4)</f>
        <v>0</v>
      </c>
      <c r="AL4" s="180">
        <f>+AK4/$AK$18</f>
        <v>0</v>
      </c>
      <c r="AM4" s="183">
        <f>+SUMIFS($O$4:$O$38,$E$4:$E$38,AD4,$L$4:$L$38,$L$5)</f>
        <v>29426.822201673502</v>
      </c>
      <c r="AN4" s="174">
        <f>+AM4/$AM$18</f>
        <v>0.23840228587756987</v>
      </c>
      <c r="AO4" s="193">
        <f>+SUMIFS($Q$4:$Q$38,$E$4:$E$38,AD4)</f>
        <v>189</v>
      </c>
      <c r="AP4" s="197">
        <f>+AQ4+AR4</f>
        <v>154</v>
      </c>
      <c r="AQ4" s="209">
        <f>+SUMIFS($V$4:$V$38,$E$4:$E$38,AD4)</f>
        <v>87</v>
      </c>
      <c r="AR4" s="209">
        <f>+SUMIFS($W$4:$W$38,$E$4:$E$38,AD4)</f>
        <v>67</v>
      </c>
      <c r="AS4" s="210">
        <f>+AO4+AP4</f>
        <v>343</v>
      </c>
      <c r="AT4" s="205">
        <f>+SUMIFS($P$4:$P$38,$E$4:$E$38,AD4)</f>
        <v>834</v>
      </c>
      <c r="AU4" s="16">
        <f>+SUMIFS($U$4:$U$38,$E$4:$E$38,AD4)</f>
        <v>1130</v>
      </c>
      <c r="AV4" s="188">
        <f>+SUM(AT4:AU4)</f>
        <v>1964</v>
      </c>
      <c r="AW4" s="197">
        <f>+SUMIFS($X$4:$X$38,$E$4:$E$38,AD4)++SUMIFS($Y$4:$Y$38,$E$4:$E$38,AD4)</f>
        <v>1566.29</v>
      </c>
      <c r="AX4" s="174">
        <f>+SUMIFS($X$4:$X$38,$E$4:$E$38,AD4)/AW4</f>
        <v>0.68965517241379315</v>
      </c>
      <c r="AY4" s="180">
        <f>SUMIFS($Y$4:$Y$38,$E$4:$E$38,AD4)/AW4</f>
        <v>0.31034482758620691</v>
      </c>
      <c r="AZ4" s="183">
        <f>+SUMIFS($S$4:$S$38,$E$4:$E$38,AD4)</f>
        <v>3180</v>
      </c>
      <c r="BA4" s="189">
        <f>+SUMIFS($T$4:$T$38,$E$4:$E$38,AD4)</f>
        <v>8740</v>
      </c>
      <c r="BB4" s="211">
        <f>+SUMIFS($Z$4:$Z$38,$E$4:$E$38,AD4)</f>
        <v>810</v>
      </c>
      <c r="BC4" s="198">
        <f>+SUMIFS($AB$4:$AB$38,$E$4:$E$38,AD4)</f>
        <v>22395</v>
      </c>
      <c r="BH4" s="188" t="s">
        <v>456</v>
      </c>
      <c r="BI4" s="173">
        <f>+SUMIFS($O$4:$O$38,$N$4:$N$38,BH4)</f>
        <v>112917.16674847306</v>
      </c>
      <c r="BJ4" s="174">
        <f>+BI4/$BI$6</f>
        <v>0.59097508769345797</v>
      </c>
      <c r="BK4" s="173">
        <f>+SUMIFS($O$4:$O$38,$N$4:$N$38,BH4,$L$4:$L$38,$BK$3)</f>
        <v>44994.310640202995</v>
      </c>
      <c r="BL4" s="174">
        <f>+BK4/$BK$6</f>
        <v>0.6652442376096368</v>
      </c>
      <c r="BM4" s="173">
        <f>+SUMIFS($O$4:$O$38,$N$4:$N$38,BH4,$L$4:$L$38,$BM$3)</f>
        <v>67922.856108270033</v>
      </c>
      <c r="BN4" s="180">
        <f>+BM4/$BM$6</f>
        <v>0.55027906338537447</v>
      </c>
      <c r="BO4" s="205">
        <f>+COUNTIFS($N$4:$N$38,BH4)</f>
        <v>22</v>
      </c>
      <c r="BP4" s="16">
        <f>+COUNTIFS($N$4:$N$38,BH4,$L$4:$L$38,$BK$3)</f>
        <v>8</v>
      </c>
      <c r="BQ4" s="188">
        <f>+COUNTIFS($N$4:$N$38,BH4,$L$4:$L$38,$BM$3)</f>
        <v>14</v>
      </c>
      <c r="BR4" s="193">
        <f>+SUMIFS($Q$4:$Q$38,$N$4:$N$38,BH4)</f>
        <v>449.34</v>
      </c>
      <c r="BS4" s="174">
        <f>+BR4/BR6</f>
        <v>0.51041643001567583</v>
      </c>
      <c r="BT4" s="16">
        <f>+SUMIFS($V$4:$V$38,$N$4:$N$38,BH4)</f>
        <v>322</v>
      </c>
      <c r="BU4" s="174">
        <f>+BT4/BT6</f>
        <v>0.66528925619834711</v>
      </c>
      <c r="BV4" s="16">
        <f>+SUMIFS($W$4:$W$38,$N$4:$N$38,BH4)</f>
        <v>210</v>
      </c>
      <c r="BW4" s="174">
        <f>+BV4/BV6</f>
        <v>0.6402439024390244</v>
      </c>
      <c r="BX4" s="190">
        <f>+BR4+BT4+BV4</f>
        <v>981.33999999999992</v>
      </c>
      <c r="BY4" s="180">
        <f>+BX4/BX6</f>
        <v>0.57987165699563914</v>
      </c>
      <c r="BZ4" s="44">
        <f>+SUMIFS($P$4:$P$38,$N$4:$N$38,BH4)</f>
        <v>1849</v>
      </c>
      <c r="CA4" s="174">
        <f>+BZ4/BZ6</f>
        <v>0.43981921979067556</v>
      </c>
      <c r="CB4" s="44">
        <f>+SUMIFS($U$4:$U$38,$N$4:$N$38,BH4)</f>
        <v>2830</v>
      </c>
      <c r="CC4" s="174">
        <f>+CB4/CB6</f>
        <v>0.66745283018867929</v>
      </c>
      <c r="CD4" s="44">
        <f>+SUMIFS($X$4:$X$38,$N$4:$N$38,BH4)</f>
        <v>2345.4499999999998</v>
      </c>
      <c r="CE4" s="174">
        <f>+CD4/CD6</f>
        <v>0.56459727504694046</v>
      </c>
      <c r="CF4" s="44">
        <f>+SUMIFS($Y$4:$Y$38,$N$4:$N$38,BH4)</f>
        <v>1970.0525</v>
      </c>
      <c r="CG4" s="180">
        <f>+CF4/CF6</f>
        <v>0.56756019002676394</v>
      </c>
      <c r="CH4" s="44">
        <f>+SUMIFS($Z$4:$Z$38,$N$4:$N$38,BH4)</f>
        <v>2767</v>
      </c>
      <c r="CI4" s="180">
        <f>+CH4/CH6</f>
        <v>0.68574969021065679</v>
      </c>
      <c r="CJ4" s="44">
        <f>+SUMIFS($AB$4:$AB$38,$N$4:$N$38,BH4)</f>
        <v>78872</v>
      </c>
      <c r="CK4" s="180">
        <f>+CJ4/CJ6</f>
        <v>0.5902090785279196</v>
      </c>
    </row>
    <row r="5" spans="2:89" s="16" customFormat="1" ht="55.2" x14ac:dyDescent="0.3">
      <c r="B5" s="6">
        <f>+B4+1</f>
        <v>2</v>
      </c>
      <c r="C5" s="47" t="s">
        <v>405</v>
      </c>
      <c r="D5" s="11" t="s">
        <v>379</v>
      </c>
      <c r="E5" s="6" t="s">
        <v>396</v>
      </c>
      <c r="F5" s="12" t="s">
        <v>18</v>
      </c>
      <c r="G5" s="26" t="s">
        <v>19</v>
      </c>
      <c r="H5" s="10">
        <v>44349</v>
      </c>
      <c r="I5" s="10">
        <v>44560</v>
      </c>
      <c r="J5" s="9" t="s">
        <v>11</v>
      </c>
      <c r="K5" s="6" t="s">
        <v>385</v>
      </c>
      <c r="L5" s="20" t="s">
        <v>455</v>
      </c>
      <c r="M5" s="121" t="s">
        <v>502</v>
      </c>
      <c r="N5" s="20" t="s">
        <v>457</v>
      </c>
      <c r="O5" s="20">
        <v>5498.6989999999996</v>
      </c>
      <c r="P5" s="34">
        <v>140</v>
      </c>
      <c r="Q5" s="77">
        <v>28</v>
      </c>
      <c r="R5" s="121" t="s">
        <v>383</v>
      </c>
      <c r="S5" s="22">
        <v>1560</v>
      </c>
      <c r="T5" s="22">
        <v>1769</v>
      </c>
      <c r="U5" s="34">
        <v>100</v>
      </c>
      <c r="V5" s="28">
        <v>19</v>
      </c>
      <c r="W5" s="28">
        <v>1</v>
      </c>
      <c r="X5" s="28">
        <v>108</v>
      </c>
      <c r="Y5" s="28">
        <v>94</v>
      </c>
      <c r="Z5" s="28">
        <v>65</v>
      </c>
      <c r="AA5" s="13">
        <f t="shared" ref="AA5:AA38" si="0">+Z5</f>
        <v>65</v>
      </c>
      <c r="AB5" s="30">
        <v>2388</v>
      </c>
      <c r="AD5" s="3" t="s">
        <v>387</v>
      </c>
      <c r="AE5" s="183">
        <f t="shared" ref="AE5:AE17" si="1">+SUMIFS($O$4:$O$38,$E$4:$E$38,AD5)</f>
        <v>7461.6852959999997</v>
      </c>
      <c r="AF5" s="180">
        <f t="shared" ref="AF5:AF17" si="2">+AE5/$AE$18</f>
        <v>3.9052256172591365E-2</v>
      </c>
      <c r="AG5" s="183">
        <f t="shared" ref="AG5:AG17" si="3">+SUMIFS($O$4:$O$38,$E$4:$E$38,AD5,$N$4:$N$38,$N$8)</f>
        <v>7461.6852959999997</v>
      </c>
      <c r="AH5" s="180">
        <f t="shared" ref="AH5:AH17" si="4">+AG5/$AG$18</f>
        <v>6.608105313712985E-2</v>
      </c>
      <c r="AI5" s="183">
        <f t="shared" ref="AI5:AI17" si="5">+SUMIFS($O$4:$O$38,$E$4:$E$38,AD5,$N$4:$N$38,$N$4)</f>
        <v>0</v>
      </c>
      <c r="AJ5" s="180">
        <f t="shared" ref="AJ5:AJ17" si="6">+AI5/$AI$18</f>
        <v>0</v>
      </c>
      <c r="AK5" s="183">
        <f t="shared" ref="AK5:AK17" si="7">+SUMIFS($O$4:$O$38,$E$4:$E$38,AD5,$L$4:$L$38,$L$4)</f>
        <v>0</v>
      </c>
      <c r="AL5" s="180">
        <f t="shared" ref="AL5:AL17" si="8">+AK5/$AK$18</f>
        <v>0</v>
      </c>
      <c r="AM5" s="183">
        <f t="shared" ref="AM5:AM17" si="9">+SUMIFS($O$4:$O$38,$E$4:$E$38,AD5,$L$4:$L$38,$L$5)</f>
        <v>7461.6852959999997</v>
      </c>
      <c r="AN5" s="174">
        <f t="shared" ref="AN5:AN17" si="10">+AM5/$AM$18</f>
        <v>6.0451068038338385E-2</v>
      </c>
      <c r="AO5" s="193">
        <f t="shared" ref="AO5:AO17" si="11">+SUMIFS($Q$4:$Q$38,$E$4:$E$38,AD5)</f>
        <v>47</v>
      </c>
      <c r="AP5" s="197">
        <f t="shared" ref="AP5:AP17" si="12">+AQ5+AR5</f>
        <v>16</v>
      </c>
      <c r="AQ5" s="209">
        <f t="shared" ref="AQ5:AQ17" si="13">+SUMIFS($V$4:$V$38,$E$4:$E$38,AD5)</f>
        <v>11</v>
      </c>
      <c r="AR5" s="209">
        <f t="shared" ref="AR5:AR17" si="14">+SUMIFS($W$4:$W$38,$E$4:$E$38,AD5)</f>
        <v>5</v>
      </c>
      <c r="AS5" s="210">
        <f t="shared" ref="AS5:AS17" si="15">+AO5+AP5</f>
        <v>63</v>
      </c>
      <c r="AT5" s="205">
        <f t="shared" ref="AT5:AT17" si="16">+SUMIFS($P$4:$P$38,$E$4:$E$38,AD5)</f>
        <v>180</v>
      </c>
      <c r="AU5" s="16">
        <f t="shared" ref="AU5:AU17" si="17">+SUMIFS($U$4:$U$38,$E$4:$E$38,AD5)</f>
        <v>120</v>
      </c>
      <c r="AV5" s="188">
        <f t="shared" ref="AV5:AV17" si="18">+SUM(AT5:AU5)</f>
        <v>300</v>
      </c>
      <c r="AW5" s="197">
        <f t="shared" ref="AW5:AW17" si="19">+SUMIFS($X$4:$X$38,$E$4:$E$38,AD5)++SUMIFS($Y$4:$Y$38,$E$4:$E$38,AD5)</f>
        <v>300</v>
      </c>
      <c r="AX5" s="174">
        <f t="shared" ref="AX5:AX17" si="20">+SUMIFS($X$4:$X$38,$E$4:$E$38,AD5)/AW5</f>
        <v>0.45333333333333331</v>
      </c>
      <c r="AY5" s="180">
        <f t="shared" ref="AY5:AY17" si="21">SUMIFS($Y$4:$Y$38,$E$4:$E$38,AD5)/AW5</f>
        <v>0.54666666666666663</v>
      </c>
      <c r="AZ5" s="183">
        <f t="shared" ref="AZ5:AZ17" si="22">+SUMIFS($S$4:$S$38,$E$4:$E$38,AD5)</f>
        <v>2112</v>
      </c>
      <c r="BA5" s="189">
        <f t="shared" ref="BA5:BA17" si="23">+SUMIFS($T$4:$T$38,$E$4:$E$38,AD5)</f>
        <v>2485.9</v>
      </c>
      <c r="BB5" s="211">
        <f t="shared" ref="BB5:BB17" si="24">+SUMIFS($Z$4:$Z$38,$E$4:$E$38,AD5)</f>
        <v>355</v>
      </c>
      <c r="BC5" s="198">
        <f t="shared" ref="BC5:BC17" si="25">+SUMIFS($AB$4:$AB$38,$E$4:$E$38,AD5)</f>
        <v>9771</v>
      </c>
      <c r="BH5" s="188" t="s">
        <v>457</v>
      </c>
      <c r="BI5" s="173">
        <f>+SUMIFS($O$4:$O$38,$N$4:$N$38,BH5)</f>
        <v>78152.08320786999</v>
      </c>
      <c r="BJ5" s="174">
        <f>+BI5/$BI$6</f>
        <v>0.40902491230654214</v>
      </c>
      <c r="BK5" s="173">
        <f>+SUMIFS($O$4:$O$38,$N$4:$N$38,BH5,$L$4:$L$38,$BK$3)</f>
        <v>22641.465961000002</v>
      </c>
      <c r="BL5" s="174">
        <f>+BK5/$BK$6</f>
        <v>0.33475576239036331</v>
      </c>
      <c r="BM5" s="173">
        <f>+SUMIFS($O$4:$O$38,$N$4:$N$38,BH5,$L$4:$L$38,$BM$3)</f>
        <v>55510.617246870002</v>
      </c>
      <c r="BN5" s="180">
        <f>+BM5/$BM$6</f>
        <v>0.44972093661462553</v>
      </c>
      <c r="BO5" s="205">
        <f>+COUNTIFS($N$4:$N$38,BH5)</f>
        <v>13</v>
      </c>
      <c r="BP5" s="16">
        <f>+COUNTIFS($N$4:$N$38,BH5,$L$4:$L$38,$BK$3)</f>
        <v>4</v>
      </c>
      <c r="BQ5" s="188">
        <f>+COUNTIFS($N$4:$N$38,BH5,$L$4:$L$38,$BM$3)</f>
        <v>9</v>
      </c>
      <c r="BR5" s="193">
        <f>+SUMIFS($Q$4:$Q$38,$N$4:$N$38,BH5)</f>
        <v>431</v>
      </c>
      <c r="BS5" s="174">
        <f>+BR5/BR6</f>
        <v>0.48958356998432428</v>
      </c>
      <c r="BT5" s="16">
        <f>+SUMIFS($V$4:$V$38,$N$4:$N$38,BH5)</f>
        <v>162</v>
      </c>
      <c r="BU5" s="174">
        <f>+BT5/BT6</f>
        <v>0.33471074380165289</v>
      </c>
      <c r="BV5" s="16">
        <f>+SUMIFS($W$4:$W$38,$N$4:$N$38,BH5)</f>
        <v>118</v>
      </c>
      <c r="BW5" s="174">
        <f>+BV5/BV6</f>
        <v>0.3597560975609756</v>
      </c>
      <c r="BX5" s="190">
        <f>+BR5+BT5+BV5</f>
        <v>711</v>
      </c>
      <c r="BY5" s="180">
        <f>+BX5/BX6</f>
        <v>0.42012834300436086</v>
      </c>
      <c r="BZ5" s="44">
        <f>+SUMIFS($P$4:$P$38,$N$4:$N$38,BH5)</f>
        <v>2355</v>
      </c>
      <c r="CA5" s="174">
        <f>+BZ5/BZ6</f>
        <v>0.56018078020932449</v>
      </c>
      <c r="CB5" s="44">
        <f>+SUMIFS($U$4:$U$38,$N$4:$N$38,BH5)</f>
        <v>1410</v>
      </c>
      <c r="CC5" s="174">
        <f>+CB5/CB6</f>
        <v>0.33254716981132076</v>
      </c>
      <c r="CD5" s="44">
        <f>+SUMIFS($X$4:$X$38,$N$4:$N$38,BH5)</f>
        <v>1808.75</v>
      </c>
      <c r="CE5" s="174">
        <f>+CD5/CD6</f>
        <v>0.43540272495305959</v>
      </c>
      <c r="CF5" s="44">
        <f>+SUMIFS($Y$4:$Y$38,$N$4:$N$38,BH5)</f>
        <v>1501.0374999999999</v>
      </c>
      <c r="CG5" s="180">
        <f>+CF5/CF6</f>
        <v>0.43243980997323606</v>
      </c>
      <c r="CH5" s="44">
        <f>+SUMIFS($Z$4:$Z$38,$N$4:$N$38,BH5)</f>
        <v>1268</v>
      </c>
      <c r="CI5" s="180">
        <f>+CH5/CH6</f>
        <v>0.31425030978934326</v>
      </c>
      <c r="CJ5" s="44">
        <f>+SUMIFS($AB$4:$AB$38,$N$4:$N$38,BH5)</f>
        <v>54762</v>
      </c>
      <c r="CK5" s="180">
        <f>+CJ5/CJ6</f>
        <v>0.40979092147208046</v>
      </c>
    </row>
    <row r="6" spans="2:89" s="16" customFormat="1" ht="55.2" x14ac:dyDescent="0.3">
      <c r="B6" s="6">
        <f t="shared" ref="B6:B38" si="26">+B5+1</f>
        <v>3</v>
      </c>
      <c r="C6" s="48" t="s">
        <v>404</v>
      </c>
      <c r="D6" s="11" t="s">
        <v>379</v>
      </c>
      <c r="E6" s="6" t="s">
        <v>396</v>
      </c>
      <c r="F6" s="12" t="s">
        <v>37</v>
      </c>
      <c r="G6" s="26" t="s">
        <v>47</v>
      </c>
      <c r="H6" s="10">
        <v>44420</v>
      </c>
      <c r="I6" s="10">
        <v>44560</v>
      </c>
      <c r="J6" s="17" t="s">
        <v>12</v>
      </c>
      <c r="K6" s="6" t="s">
        <v>385</v>
      </c>
      <c r="L6" s="20" t="s">
        <v>455</v>
      </c>
      <c r="M6" s="121" t="s">
        <v>503</v>
      </c>
      <c r="N6" s="20" t="s">
        <v>457</v>
      </c>
      <c r="O6" s="20">
        <v>5230.5639889999993</v>
      </c>
      <c r="P6" s="34">
        <v>180</v>
      </c>
      <c r="Q6" s="13">
        <v>27</v>
      </c>
      <c r="R6" s="121" t="s">
        <v>382</v>
      </c>
      <c r="S6" s="14">
        <v>1498.9</v>
      </c>
      <c r="T6" s="14">
        <v>1498.9</v>
      </c>
      <c r="U6" s="20">
        <v>30</v>
      </c>
      <c r="V6" s="13">
        <v>9</v>
      </c>
      <c r="W6" s="13">
        <v>2</v>
      </c>
      <c r="X6" s="13">
        <v>70</v>
      </c>
      <c r="Y6" s="13">
        <v>73</v>
      </c>
      <c r="Z6" s="13">
        <v>27</v>
      </c>
      <c r="AA6" s="13">
        <f t="shared" si="0"/>
        <v>27</v>
      </c>
      <c r="AB6" s="20">
        <v>2531</v>
      </c>
      <c r="AD6" s="16" t="s">
        <v>398</v>
      </c>
      <c r="AE6" s="183">
        <f t="shared" si="1"/>
        <v>20775.205372999997</v>
      </c>
      <c r="AF6" s="180">
        <f t="shared" si="2"/>
        <v>0.10873128657670911</v>
      </c>
      <c r="AG6" s="183">
        <f t="shared" si="3"/>
        <v>7267.6380929999996</v>
      </c>
      <c r="AH6" s="180">
        <f t="shared" si="4"/>
        <v>6.4362561533171644E-2</v>
      </c>
      <c r="AI6" s="183">
        <f t="shared" si="5"/>
        <v>13507.567279999999</v>
      </c>
      <c r="AJ6" s="180">
        <f t="shared" si="6"/>
        <v>0.17283694465408403</v>
      </c>
      <c r="AK6" s="183">
        <f t="shared" si="7"/>
        <v>7267.6380929999996</v>
      </c>
      <c r="AL6" s="180">
        <f t="shared" si="8"/>
        <v>0.10745257108307876</v>
      </c>
      <c r="AM6" s="183">
        <f t="shared" si="9"/>
        <v>13507.567279999999</v>
      </c>
      <c r="AN6" s="174">
        <f t="shared" si="10"/>
        <v>0.10943196292578047</v>
      </c>
      <c r="AO6" s="193">
        <f t="shared" si="11"/>
        <v>118</v>
      </c>
      <c r="AP6" s="197">
        <f t="shared" si="12"/>
        <v>44</v>
      </c>
      <c r="AQ6" s="209">
        <f t="shared" si="13"/>
        <v>32</v>
      </c>
      <c r="AR6" s="209">
        <f t="shared" si="14"/>
        <v>12</v>
      </c>
      <c r="AS6" s="210">
        <f t="shared" si="15"/>
        <v>162</v>
      </c>
      <c r="AT6" s="205">
        <f t="shared" si="16"/>
        <v>640</v>
      </c>
      <c r="AU6" s="16">
        <f t="shared" si="17"/>
        <v>260</v>
      </c>
      <c r="AV6" s="188">
        <f t="shared" si="18"/>
        <v>900</v>
      </c>
      <c r="AW6" s="197">
        <f t="shared" si="19"/>
        <v>869</v>
      </c>
      <c r="AX6" s="174">
        <f t="shared" si="20"/>
        <v>0.51783659378596092</v>
      </c>
      <c r="AY6" s="180">
        <f t="shared" si="21"/>
        <v>0.48216340621403914</v>
      </c>
      <c r="AZ6" s="183">
        <f t="shared" si="22"/>
        <v>3376.9</v>
      </c>
      <c r="BA6" s="189">
        <f t="shared" si="23"/>
        <v>6091.13</v>
      </c>
      <c r="BB6" s="211">
        <f t="shared" si="24"/>
        <v>580</v>
      </c>
      <c r="BC6" s="198">
        <f t="shared" si="25"/>
        <v>13309</v>
      </c>
      <c r="BI6" s="202">
        <f>+SUM(BI4:BI5)</f>
        <v>191069.24995634303</v>
      </c>
      <c r="BK6" s="202">
        <f>+SUM(BK4:BK5)</f>
        <v>67635.77660120299</v>
      </c>
      <c r="BM6" s="202">
        <f>+SUM(BM4:BM5)</f>
        <v>123433.47335514004</v>
      </c>
      <c r="BO6" s="207">
        <f t="shared" ref="BO6:BQ6" si="27">+SUM(BO4:BO5)</f>
        <v>35</v>
      </c>
      <c r="BP6" s="207">
        <f t="shared" si="27"/>
        <v>12</v>
      </c>
      <c r="BQ6" s="207">
        <f t="shared" si="27"/>
        <v>23</v>
      </c>
      <c r="BR6" s="207">
        <f>+SUM(BR4:BR5)</f>
        <v>880.33999999999992</v>
      </c>
      <c r="BT6" s="207">
        <f>+SUM(BT4:BT5)</f>
        <v>484</v>
      </c>
      <c r="BV6" s="207">
        <f>+SUM(BV4:BV5)</f>
        <v>328</v>
      </c>
      <c r="BX6" s="207">
        <f>+SUM(BX4:BX5)</f>
        <v>1692.34</v>
      </c>
      <c r="BZ6" s="195">
        <f>+SUM(BZ4:BZ5)</f>
        <v>4204</v>
      </c>
      <c r="CB6" s="195">
        <f>+SUM(CB4:CB5)</f>
        <v>4240</v>
      </c>
      <c r="CD6" s="195">
        <f>+SUM(CD4:CD5)</f>
        <v>4154.2</v>
      </c>
      <c r="CF6" s="195">
        <f>+SUM(CF4:CF5)</f>
        <v>3471.09</v>
      </c>
      <c r="CH6" s="195">
        <f>+SUM(CH4:CH5)</f>
        <v>4035</v>
      </c>
      <c r="CJ6" s="195">
        <f>+SUM(CJ4:CJ5)</f>
        <v>133634</v>
      </c>
    </row>
    <row r="7" spans="2:89" s="16" customFormat="1" ht="55.2" x14ac:dyDescent="0.3">
      <c r="B7" s="6">
        <f t="shared" si="26"/>
        <v>4</v>
      </c>
      <c r="C7" s="48" t="s">
        <v>406</v>
      </c>
      <c r="D7" s="11" t="s">
        <v>379</v>
      </c>
      <c r="E7" s="6" t="s">
        <v>396</v>
      </c>
      <c r="F7" s="12" t="s">
        <v>18</v>
      </c>
      <c r="G7" s="26" t="s">
        <v>19</v>
      </c>
      <c r="H7" s="10">
        <v>44438</v>
      </c>
      <c r="I7" s="10">
        <v>44560</v>
      </c>
      <c r="J7" s="17" t="s">
        <v>13</v>
      </c>
      <c r="K7" s="6" t="s">
        <v>385</v>
      </c>
      <c r="L7" s="20" t="s">
        <v>455</v>
      </c>
      <c r="M7" s="121" t="s">
        <v>504</v>
      </c>
      <c r="N7" s="20" t="s">
        <v>457</v>
      </c>
      <c r="O7" s="20">
        <v>6306.0740701900004</v>
      </c>
      <c r="P7" s="34">
        <v>280</v>
      </c>
      <c r="Q7" s="77">
        <v>58</v>
      </c>
      <c r="R7" s="121" t="s">
        <v>383</v>
      </c>
      <c r="S7" s="22">
        <v>1150</v>
      </c>
      <c r="T7" s="22">
        <v>1669</v>
      </c>
      <c r="U7" s="34">
        <v>80</v>
      </c>
      <c r="V7" s="28">
        <v>12</v>
      </c>
      <c r="W7" s="28">
        <v>1</v>
      </c>
      <c r="X7" s="28">
        <v>131</v>
      </c>
      <c r="Y7" s="28">
        <v>137</v>
      </c>
      <c r="Z7" s="13">
        <v>87</v>
      </c>
      <c r="AA7" s="13">
        <f t="shared" si="0"/>
        <v>87</v>
      </c>
      <c r="AB7" s="30">
        <v>2910</v>
      </c>
      <c r="AD7" s="3" t="s">
        <v>388</v>
      </c>
      <c r="AE7" s="183">
        <f t="shared" si="1"/>
        <v>7620.5776859999996</v>
      </c>
      <c r="AF7" s="180">
        <f t="shared" si="2"/>
        <v>3.9883851994715044E-2</v>
      </c>
      <c r="AG7" s="183">
        <f t="shared" si="3"/>
        <v>7620.5776859999996</v>
      </c>
      <c r="AH7" s="180">
        <f t="shared" si="4"/>
        <v>6.748821198263949E-2</v>
      </c>
      <c r="AI7" s="183">
        <f t="shared" si="5"/>
        <v>0</v>
      </c>
      <c r="AJ7" s="180">
        <f t="shared" si="6"/>
        <v>0</v>
      </c>
      <c r="AK7" s="183">
        <f t="shared" si="7"/>
        <v>0</v>
      </c>
      <c r="AL7" s="180">
        <f t="shared" si="8"/>
        <v>0</v>
      </c>
      <c r="AM7" s="183">
        <f t="shared" si="9"/>
        <v>7620.5776859999996</v>
      </c>
      <c r="AN7" s="174">
        <f t="shared" si="10"/>
        <v>6.1738339518926461E-2</v>
      </c>
      <c r="AO7" s="193">
        <f t="shared" si="11"/>
        <v>59</v>
      </c>
      <c r="AP7" s="197">
        <f t="shared" si="12"/>
        <v>36</v>
      </c>
      <c r="AQ7" s="209">
        <f t="shared" si="13"/>
        <v>23</v>
      </c>
      <c r="AR7" s="209">
        <f t="shared" si="14"/>
        <v>13</v>
      </c>
      <c r="AS7" s="210">
        <f t="shared" si="15"/>
        <v>95</v>
      </c>
      <c r="AT7" s="205">
        <f t="shared" si="16"/>
        <v>195</v>
      </c>
      <c r="AU7" s="16">
        <f t="shared" si="17"/>
        <v>195</v>
      </c>
      <c r="AV7" s="188">
        <f t="shared" si="18"/>
        <v>390</v>
      </c>
      <c r="AW7" s="197">
        <f t="shared" si="19"/>
        <v>270</v>
      </c>
      <c r="AX7" s="174">
        <f t="shared" si="20"/>
        <v>0.57777777777777772</v>
      </c>
      <c r="AY7" s="180">
        <f t="shared" si="21"/>
        <v>0.42222222222222222</v>
      </c>
      <c r="AZ7" s="183">
        <f t="shared" si="22"/>
        <v>8283.18</v>
      </c>
      <c r="BA7" s="189">
        <f t="shared" si="23"/>
        <v>11045.18</v>
      </c>
      <c r="BB7" s="211">
        <f t="shared" si="24"/>
        <v>90</v>
      </c>
      <c r="BC7" s="198">
        <f t="shared" si="25"/>
        <v>3760</v>
      </c>
      <c r="BI7" s="167" t="b">
        <f>+BI6=O39</f>
        <v>1</v>
      </c>
      <c r="BJ7" s="167"/>
      <c r="BK7" s="167" t="b">
        <f>+BK6=AK18</f>
        <v>1</v>
      </c>
      <c r="BL7" s="167"/>
      <c r="BM7" s="167" t="b">
        <f>+BM6=AM18</f>
        <v>1</v>
      </c>
      <c r="BN7" s="167"/>
      <c r="BO7" s="167" t="b">
        <f>+BO6=B38</f>
        <v>1</v>
      </c>
      <c r="BP7" s="167"/>
      <c r="BQ7" s="167" t="b">
        <f>+BP6+BQ6=BO6</f>
        <v>1</v>
      </c>
      <c r="BR7" s="167" t="b">
        <f>+BR6=Q39</f>
        <v>1</v>
      </c>
      <c r="BS7" s="167"/>
      <c r="BT7" s="167" t="b">
        <f>+BT6=V39</f>
        <v>1</v>
      </c>
      <c r="BU7" s="167"/>
      <c r="BV7" s="167" t="b">
        <f>+BV6=W39</f>
        <v>1</v>
      </c>
      <c r="BW7" s="167"/>
      <c r="BX7" s="167" t="b">
        <f>+BX6=AS18</f>
        <v>1</v>
      </c>
      <c r="BY7" s="167"/>
      <c r="BZ7" s="167" t="b">
        <f>+BZ6=P39</f>
        <v>1</v>
      </c>
      <c r="CA7" s="167"/>
      <c r="CB7" s="167" t="b">
        <f>+CB6=U39</f>
        <v>1</v>
      </c>
      <c r="CC7" s="167"/>
      <c r="CD7" s="167" t="b">
        <f>+CD6=X39</f>
        <v>1</v>
      </c>
      <c r="CE7" s="167"/>
      <c r="CF7" s="167" t="b">
        <f>+CF6=Y39</f>
        <v>1</v>
      </c>
      <c r="CG7" s="167"/>
      <c r="CH7" s="167" t="b">
        <f>+CH6=Z39</f>
        <v>1</v>
      </c>
      <c r="CI7" s="167"/>
      <c r="CJ7" s="167" t="b">
        <f>+CJ6=AB39</f>
        <v>1</v>
      </c>
      <c r="CK7" s="167"/>
    </row>
    <row r="8" spans="2:89" ht="82.8" x14ac:dyDescent="0.3">
      <c r="B8" s="6">
        <f t="shared" si="26"/>
        <v>5</v>
      </c>
      <c r="C8" s="17" t="s">
        <v>407</v>
      </c>
      <c r="D8" s="11" t="s">
        <v>379</v>
      </c>
      <c r="E8" s="6" t="s">
        <v>387</v>
      </c>
      <c r="F8" s="11" t="s">
        <v>64</v>
      </c>
      <c r="G8" s="11" t="s">
        <v>65</v>
      </c>
      <c r="H8" s="10" t="s">
        <v>66</v>
      </c>
      <c r="I8" s="10" t="s">
        <v>67</v>
      </c>
      <c r="J8" s="17" t="s">
        <v>68</v>
      </c>
      <c r="K8" s="6" t="s">
        <v>385</v>
      </c>
      <c r="L8" s="20" t="s">
        <v>455</v>
      </c>
      <c r="M8" s="121" t="s">
        <v>505</v>
      </c>
      <c r="N8" s="20" t="s">
        <v>456</v>
      </c>
      <c r="O8" s="20">
        <v>3705.8767349999998</v>
      </c>
      <c r="P8" s="34">
        <v>90</v>
      </c>
      <c r="Q8" s="34">
        <v>23</v>
      </c>
      <c r="R8" s="46" t="s">
        <v>383</v>
      </c>
      <c r="S8" s="115">
        <v>804</v>
      </c>
      <c r="T8" s="115">
        <v>1177.9000000000001</v>
      </c>
      <c r="U8" s="34">
        <v>60</v>
      </c>
      <c r="V8" s="30">
        <v>6</v>
      </c>
      <c r="W8" s="30">
        <v>1</v>
      </c>
      <c r="X8" s="34">
        <v>59</v>
      </c>
      <c r="Y8" s="34">
        <v>91</v>
      </c>
      <c r="Z8" s="34">
        <v>175</v>
      </c>
      <c r="AA8" s="13">
        <f t="shared" si="0"/>
        <v>175</v>
      </c>
      <c r="AB8" s="30">
        <v>2851</v>
      </c>
      <c r="AC8" s="32"/>
      <c r="AD8" s="3" t="s">
        <v>389</v>
      </c>
      <c r="AE8" s="183">
        <f t="shared" si="1"/>
        <v>8670.1374572999994</v>
      </c>
      <c r="AF8" s="181">
        <f t="shared" si="2"/>
        <v>4.5376937729545798E-2</v>
      </c>
      <c r="AG8" s="183">
        <f t="shared" si="3"/>
        <v>8670.1374572999994</v>
      </c>
      <c r="AH8" s="181">
        <f t="shared" si="4"/>
        <v>7.678316510201709E-2</v>
      </c>
      <c r="AI8" s="183">
        <f t="shared" si="5"/>
        <v>0</v>
      </c>
      <c r="AJ8" s="181">
        <f t="shared" si="6"/>
        <v>0</v>
      </c>
      <c r="AK8" s="183">
        <f t="shared" si="7"/>
        <v>0</v>
      </c>
      <c r="AL8" s="181">
        <f t="shared" si="8"/>
        <v>0</v>
      </c>
      <c r="AM8" s="183">
        <f t="shared" si="9"/>
        <v>8670.1374572999994</v>
      </c>
      <c r="AN8" s="176">
        <f t="shared" si="10"/>
        <v>7.02413796001225E-2</v>
      </c>
      <c r="AO8" s="193">
        <f t="shared" si="11"/>
        <v>97</v>
      </c>
      <c r="AP8" s="197">
        <f t="shared" si="12"/>
        <v>14</v>
      </c>
      <c r="AQ8" s="209">
        <f t="shared" si="13"/>
        <v>11</v>
      </c>
      <c r="AR8" s="209">
        <f t="shared" si="14"/>
        <v>3</v>
      </c>
      <c r="AS8" s="210">
        <f t="shared" si="15"/>
        <v>111</v>
      </c>
      <c r="AT8" s="183">
        <f t="shared" si="16"/>
        <v>235</v>
      </c>
      <c r="AU8" s="173">
        <f t="shared" si="17"/>
        <v>95</v>
      </c>
      <c r="AV8" s="189">
        <f t="shared" si="18"/>
        <v>330</v>
      </c>
      <c r="AW8" s="197">
        <f t="shared" si="19"/>
        <v>330</v>
      </c>
      <c r="AX8" s="176">
        <f t="shared" si="20"/>
        <v>0.49090909090909091</v>
      </c>
      <c r="AY8" s="181">
        <f t="shared" si="21"/>
        <v>0.50909090909090904</v>
      </c>
      <c r="AZ8" s="183">
        <f t="shared" si="22"/>
        <v>1330</v>
      </c>
      <c r="BA8" s="189">
        <f t="shared" si="23"/>
        <v>2454</v>
      </c>
      <c r="BB8" s="211">
        <f t="shared" si="24"/>
        <v>210</v>
      </c>
      <c r="BC8" s="198">
        <f t="shared" si="25"/>
        <v>9238</v>
      </c>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row>
    <row r="9" spans="2:89" ht="82.8" x14ac:dyDescent="0.3">
      <c r="B9" s="6">
        <f t="shared" si="26"/>
        <v>6</v>
      </c>
      <c r="C9" s="17" t="s">
        <v>408</v>
      </c>
      <c r="D9" s="11" t="s">
        <v>379</v>
      </c>
      <c r="E9" s="6" t="s">
        <v>387</v>
      </c>
      <c r="F9" s="11" t="s">
        <v>69</v>
      </c>
      <c r="G9" s="11" t="s">
        <v>70</v>
      </c>
      <c r="H9" s="10">
        <v>44348</v>
      </c>
      <c r="I9" s="10">
        <v>44489</v>
      </c>
      <c r="J9" s="17" t="s">
        <v>71</v>
      </c>
      <c r="K9" s="6" t="s">
        <v>385</v>
      </c>
      <c r="L9" s="20" t="s">
        <v>455</v>
      </c>
      <c r="M9" s="121" t="s">
        <v>493</v>
      </c>
      <c r="N9" s="20" t="s">
        <v>456</v>
      </c>
      <c r="O9" s="20">
        <v>3755.8085609999998</v>
      </c>
      <c r="P9" s="30">
        <v>90</v>
      </c>
      <c r="Q9" s="30">
        <v>24</v>
      </c>
      <c r="R9" s="46" t="s">
        <v>382</v>
      </c>
      <c r="S9" s="115">
        <v>1308</v>
      </c>
      <c r="T9" s="115">
        <v>1308</v>
      </c>
      <c r="U9" s="30">
        <v>60</v>
      </c>
      <c r="V9" s="30">
        <v>5</v>
      </c>
      <c r="W9" s="30">
        <v>4</v>
      </c>
      <c r="X9" s="30">
        <v>77</v>
      </c>
      <c r="Y9" s="30">
        <v>73</v>
      </c>
      <c r="Z9" s="30">
        <v>180</v>
      </c>
      <c r="AA9" s="13">
        <f t="shared" si="0"/>
        <v>180</v>
      </c>
      <c r="AB9" s="30">
        <v>6920</v>
      </c>
      <c r="AD9" s="3" t="s">
        <v>397</v>
      </c>
      <c r="AE9" s="183">
        <f t="shared" si="1"/>
        <v>14609.266501</v>
      </c>
      <c r="AF9" s="180">
        <f t="shared" si="2"/>
        <v>7.6460584339646684E-2</v>
      </c>
      <c r="AG9" s="183">
        <f t="shared" si="3"/>
        <v>7324.4306999999999</v>
      </c>
      <c r="AH9" s="180">
        <f t="shared" si="4"/>
        <v>6.4865519662881968E-2</v>
      </c>
      <c r="AI9" s="183">
        <f t="shared" si="5"/>
        <v>7284.8358010000002</v>
      </c>
      <c r="AJ9" s="180">
        <f t="shared" si="6"/>
        <v>9.3213584359916432E-2</v>
      </c>
      <c r="AK9" s="183">
        <f t="shared" si="7"/>
        <v>0</v>
      </c>
      <c r="AL9" s="180">
        <f t="shared" si="8"/>
        <v>0</v>
      </c>
      <c r="AM9" s="183">
        <f t="shared" si="9"/>
        <v>14609.266501</v>
      </c>
      <c r="AN9" s="174">
        <f t="shared" si="10"/>
        <v>0.11835741232823078</v>
      </c>
      <c r="AO9" s="193">
        <f t="shared" si="11"/>
        <v>105</v>
      </c>
      <c r="AP9" s="197">
        <f t="shared" si="12"/>
        <v>20</v>
      </c>
      <c r="AQ9" s="209">
        <f t="shared" si="13"/>
        <v>15</v>
      </c>
      <c r="AR9" s="209">
        <f t="shared" si="14"/>
        <v>5</v>
      </c>
      <c r="AS9" s="210">
        <f t="shared" si="15"/>
        <v>125</v>
      </c>
      <c r="AT9" s="205">
        <f t="shared" si="16"/>
        <v>600</v>
      </c>
      <c r="AU9" s="16">
        <f t="shared" si="17"/>
        <v>120</v>
      </c>
      <c r="AV9" s="188">
        <f t="shared" si="18"/>
        <v>720</v>
      </c>
      <c r="AW9" s="197">
        <f t="shared" si="19"/>
        <v>607</v>
      </c>
      <c r="AX9" s="174">
        <f t="shared" si="20"/>
        <v>0.51400329489291596</v>
      </c>
      <c r="AY9" s="180">
        <f t="shared" si="21"/>
        <v>0.48599670510708404</v>
      </c>
      <c r="AZ9" s="183">
        <f t="shared" si="22"/>
        <v>2559.73</v>
      </c>
      <c r="BA9" s="189">
        <f t="shared" si="23"/>
        <v>2559.73</v>
      </c>
      <c r="BB9" s="211">
        <f t="shared" si="24"/>
        <v>343</v>
      </c>
      <c r="BC9" s="198">
        <f t="shared" si="25"/>
        <v>5853</v>
      </c>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row>
    <row r="10" spans="2:89" ht="69" x14ac:dyDescent="0.3">
      <c r="B10" s="6">
        <f t="shared" si="26"/>
        <v>7</v>
      </c>
      <c r="C10" s="17" t="s">
        <v>506</v>
      </c>
      <c r="D10" s="11" t="s">
        <v>379</v>
      </c>
      <c r="E10" s="6" t="s">
        <v>390</v>
      </c>
      <c r="F10" s="11" t="s">
        <v>83</v>
      </c>
      <c r="G10" s="6" t="s">
        <v>84</v>
      </c>
      <c r="H10" s="29" t="s">
        <v>86</v>
      </c>
      <c r="I10" s="29" t="s">
        <v>87</v>
      </c>
      <c r="J10" s="17" t="s">
        <v>88</v>
      </c>
      <c r="K10" s="6" t="s">
        <v>385</v>
      </c>
      <c r="L10" s="20" t="s">
        <v>458</v>
      </c>
      <c r="M10" s="121" t="s">
        <v>494</v>
      </c>
      <c r="N10" s="20" t="s">
        <v>457</v>
      </c>
      <c r="O10" s="20">
        <v>4017.3875580000004</v>
      </c>
      <c r="P10" s="30">
        <v>0</v>
      </c>
      <c r="Q10" s="28">
        <v>0</v>
      </c>
      <c r="R10" s="46" t="s">
        <v>381</v>
      </c>
      <c r="S10" s="60">
        <v>0</v>
      </c>
      <c r="T10" s="31">
        <v>1276</v>
      </c>
      <c r="U10" s="30">
        <v>120</v>
      </c>
      <c r="V10" s="30">
        <v>11</v>
      </c>
      <c r="W10" s="30">
        <v>17</v>
      </c>
      <c r="X10" s="30">
        <v>59</v>
      </c>
      <c r="Y10" s="30">
        <v>57</v>
      </c>
      <c r="Z10" s="30">
        <v>42</v>
      </c>
      <c r="AA10" s="13">
        <f t="shared" si="0"/>
        <v>42</v>
      </c>
      <c r="AB10" s="30">
        <v>6889</v>
      </c>
      <c r="AD10" s="3" t="s">
        <v>391</v>
      </c>
      <c r="AE10" s="183">
        <f t="shared" si="1"/>
        <v>38131.484550002991</v>
      </c>
      <c r="AF10" s="180">
        <f t="shared" si="2"/>
        <v>0.19956892361651896</v>
      </c>
      <c r="AG10" s="183">
        <f t="shared" si="3"/>
        <v>25719.045166002998</v>
      </c>
      <c r="AH10" s="180">
        <f t="shared" si="4"/>
        <v>0.22776913295471782</v>
      </c>
      <c r="AI10" s="183">
        <f t="shared" si="5"/>
        <v>12412.439384000001</v>
      </c>
      <c r="AJ10" s="180">
        <f t="shared" si="6"/>
        <v>0.1588241653262808</v>
      </c>
      <c r="AK10" s="183">
        <f t="shared" si="7"/>
        <v>38131.484550002991</v>
      </c>
      <c r="AL10" s="180">
        <f t="shared" si="8"/>
        <v>0.56377684217090474</v>
      </c>
      <c r="AM10" s="183">
        <f t="shared" si="9"/>
        <v>0</v>
      </c>
      <c r="AN10" s="174">
        <f t="shared" si="10"/>
        <v>0</v>
      </c>
      <c r="AO10" s="193">
        <f t="shared" si="11"/>
        <v>0</v>
      </c>
      <c r="AP10" s="197">
        <f t="shared" si="12"/>
        <v>241</v>
      </c>
      <c r="AQ10" s="209">
        <f t="shared" si="13"/>
        <v>127</v>
      </c>
      <c r="AR10" s="209">
        <f t="shared" si="14"/>
        <v>114</v>
      </c>
      <c r="AS10" s="210">
        <f t="shared" si="15"/>
        <v>241</v>
      </c>
      <c r="AT10" s="205">
        <f t="shared" si="16"/>
        <v>0</v>
      </c>
      <c r="AU10" s="16">
        <f t="shared" si="17"/>
        <v>1110</v>
      </c>
      <c r="AV10" s="188">
        <f t="shared" si="18"/>
        <v>1110</v>
      </c>
      <c r="AW10" s="197">
        <f t="shared" si="19"/>
        <v>1237</v>
      </c>
      <c r="AX10" s="174">
        <f t="shared" si="20"/>
        <v>0.51333872271624903</v>
      </c>
      <c r="AY10" s="180">
        <f t="shared" si="21"/>
        <v>0.48666127728375103</v>
      </c>
      <c r="AZ10" s="183">
        <f t="shared" si="22"/>
        <v>0</v>
      </c>
      <c r="BA10" s="189">
        <f t="shared" si="23"/>
        <v>17197</v>
      </c>
      <c r="BB10" s="211">
        <f t="shared" si="24"/>
        <v>399</v>
      </c>
      <c r="BC10" s="198">
        <f t="shared" si="25"/>
        <v>17505</v>
      </c>
      <c r="BG10" s="16"/>
      <c r="BH10" s="16"/>
      <c r="BI10" s="16"/>
      <c r="BJ10" s="16"/>
      <c r="BK10" s="16"/>
      <c r="BL10" s="16"/>
      <c r="BM10" s="16"/>
      <c r="BN10" s="16"/>
      <c r="BO10" s="16"/>
      <c r="BP10" s="16"/>
      <c r="BQ10" s="16"/>
      <c r="BR10" s="16"/>
    </row>
    <row r="11" spans="2:89" ht="55.2" x14ac:dyDescent="0.3">
      <c r="B11" s="6">
        <f t="shared" si="26"/>
        <v>8</v>
      </c>
      <c r="C11" s="53" t="s">
        <v>507</v>
      </c>
      <c r="D11" s="11" t="s">
        <v>379</v>
      </c>
      <c r="E11" s="6" t="s">
        <v>386</v>
      </c>
      <c r="F11" s="54" t="s">
        <v>104</v>
      </c>
      <c r="G11" s="54" t="s">
        <v>105</v>
      </c>
      <c r="H11" s="10">
        <v>44306</v>
      </c>
      <c r="I11" s="10">
        <v>44561</v>
      </c>
      <c r="J11" s="55" t="s">
        <v>106</v>
      </c>
      <c r="K11" s="6" t="s">
        <v>385</v>
      </c>
      <c r="L11" s="20" t="s">
        <v>455</v>
      </c>
      <c r="M11" s="121" t="s">
        <v>511</v>
      </c>
      <c r="N11" s="20" t="s">
        <v>456</v>
      </c>
      <c r="O11" s="20">
        <v>6192.1925566735008</v>
      </c>
      <c r="P11" s="41">
        <v>175</v>
      </c>
      <c r="Q11" s="41">
        <v>35</v>
      </c>
      <c r="R11" s="46" t="s">
        <v>383</v>
      </c>
      <c r="S11" s="115">
        <v>500</v>
      </c>
      <c r="T11" s="115">
        <v>1500</v>
      </c>
      <c r="U11" s="30">
        <v>240</v>
      </c>
      <c r="V11" s="30">
        <v>18</v>
      </c>
      <c r="W11" s="30">
        <v>12</v>
      </c>
      <c r="X11" s="30">
        <v>228.25</v>
      </c>
      <c r="Y11" s="30">
        <v>102.71250000000001</v>
      </c>
      <c r="Z11" s="30">
        <v>180</v>
      </c>
      <c r="AA11" s="13">
        <f t="shared" si="0"/>
        <v>180</v>
      </c>
      <c r="AB11" s="30">
        <v>4079</v>
      </c>
      <c r="AD11" s="3" t="s">
        <v>390</v>
      </c>
      <c r="AE11" s="183">
        <f t="shared" si="1"/>
        <v>4017.3875580000004</v>
      </c>
      <c r="AF11" s="180">
        <f t="shared" si="2"/>
        <v>2.1025819481250509E-2</v>
      </c>
      <c r="AG11" s="183">
        <f t="shared" si="3"/>
        <v>0</v>
      </c>
      <c r="AH11" s="180">
        <f t="shared" si="4"/>
        <v>0</v>
      </c>
      <c r="AI11" s="183">
        <f t="shared" si="5"/>
        <v>4017.3875580000004</v>
      </c>
      <c r="AJ11" s="180">
        <f t="shared" si="6"/>
        <v>5.1404740514907274E-2</v>
      </c>
      <c r="AK11" s="183">
        <f t="shared" si="7"/>
        <v>4017.3875580000004</v>
      </c>
      <c r="AL11" s="180">
        <f t="shared" si="8"/>
        <v>5.9397374583092258E-2</v>
      </c>
      <c r="AM11" s="183">
        <f t="shared" si="9"/>
        <v>0</v>
      </c>
      <c r="AN11" s="174">
        <f t="shared" si="10"/>
        <v>0</v>
      </c>
      <c r="AO11" s="193">
        <f t="shared" si="11"/>
        <v>0</v>
      </c>
      <c r="AP11" s="197">
        <f t="shared" si="12"/>
        <v>28</v>
      </c>
      <c r="AQ11" s="209">
        <f t="shared" si="13"/>
        <v>11</v>
      </c>
      <c r="AR11" s="209">
        <f t="shared" si="14"/>
        <v>17</v>
      </c>
      <c r="AS11" s="210">
        <f t="shared" si="15"/>
        <v>28</v>
      </c>
      <c r="AT11" s="205">
        <f t="shared" si="16"/>
        <v>0</v>
      </c>
      <c r="AU11" s="16">
        <f t="shared" si="17"/>
        <v>120</v>
      </c>
      <c r="AV11" s="188">
        <f t="shared" si="18"/>
        <v>120</v>
      </c>
      <c r="AW11" s="197">
        <f t="shared" si="19"/>
        <v>116</v>
      </c>
      <c r="AX11" s="174">
        <f t="shared" si="20"/>
        <v>0.50862068965517238</v>
      </c>
      <c r="AY11" s="180">
        <f t="shared" si="21"/>
        <v>0.49137931034482757</v>
      </c>
      <c r="AZ11" s="183">
        <f t="shared" si="22"/>
        <v>0</v>
      </c>
      <c r="BA11" s="189">
        <f t="shared" si="23"/>
        <v>1276</v>
      </c>
      <c r="BB11" s="211">
        <f t="shared" si="24"/>
        <v>42</v>
      </c>
      <c r="BC11" s="198">
        <f t="shared" si="25"/>
        <v>6889</v>
      </c>
      <c r="BG11" s="16"/>
      <c r="BH11" s="16"/>
      <c r="BI11" s="16"/>
      <c r="BJ11" s="16"/>
      <c r="BK11" s="16"/>
      <c r="BL11" s="16"/>
      <c r="BM11" s="16"/>
      <c r="BN11" s="16"/>
      <c r="BO11" s="16"/>
      <c r="BP11" s="16"/>
      <c r="BQ11" s="16"/>
      <c r="BR11" s="16"/>
    </row>
    <row r="12" spans="2:89" ht="55.2" x14ac:dyDescent="0.3">
      <c r="B12" s="6">
        <f t="shared" si="26"/>
        <v>9</v>
      </c>
      <c r="C12" s="53" t="s">
        <v>508</v>
      </c>
      <c r="D12" s="11" t="s">
        <v>379</v>
      </c>
      <c r="E12" s="6" t="s">
        <v>386</v>
      </c>
      <c r="F12" s="54" t="s">
        <v>107</v>
      </c>
      <c r="G12" s="54" t="s">
        <v>108</v>
      </c>
      <c r="H12" s="10">
        <v>44256</v>
      </c>
      <c r="I12" s="10">
        <v>44555</v>
      </c>
      <c r="J12" s="55" t="s">
        <v>109</v>
      </c>
      <c r="K12" s="6" t="s">
        <v>385</v>
      </c>
      <c r="L12" s="20" t="s">
        <v>455</v>
      </c>
      <c r="M12" s="121" t="s">
        <v>512</v>
      </c>
      <c r="N12" s="20" t="s">
        <v>457</v>
      </c>
      <c r="O12" s="20">
        <v>5449.2225339999995</v>
      </c>
      <c r="P12" s="41">
        <v>220</v>
      </c>
      <c r="Q12" s="41">
        <v>54</v>
      </c>
      <c r="R12" s="46" t="s">
        <v>383</v>
      </c>
      <c r="S12" s="115">
        <v>650</v>
      </c>
      <c r="T12" s="115">
        <v>2150</v>
      </c>
      <c r="U12" s="30">
        <v>280</v>
      </c>
      <c r="V12" s="30">
        <v>19</v>
      </c>
      <c r="W12" s="30">
        <v>14</v>
      </c>
      <c r="X12" s="30">
        <v>275</v>
      </c>
      <c r="Y12" s="30">
        <v>123.75</v>
      </c>
      <c r="Z12" s="30">
        <v>74</v>
      </c>
      <c r="AA12" s="13">
        <f t="shared" si="0"/>
        <v>74</v>
      </c>
      <c r="AB12" s="30">
        <v>6800</v>
      </c>
      <c r="AD12" s="177" t="s">
        <v>399</v>
      </c>
      <c r="AE12" s="183">
        <f t="shared" si="1"/>
        <v>7016.5954732</v>
      </c>
      <c r="AF12" s="180">
        <f t="shared" si="2"/>
        <v>3.672278754851032E-2</v>
      </c>
      <c r="AG12" s="183">
        <f t="shared" si="3"/>
        <v>7016.5954732</v>
      </c>
      <c r="AH12" s="180">
        <f t="shared" si="4"/>
        <v>6.2139315705907791E-2</v>
      </c>
      <c r="AI12" s="183">
        <f t="shared" si="5"/>
        <v>0</v>
      </c>
      <c r="AJ12" s="180">
        <f t="shared" si="6"/>
        <v>0</v>
      </c>
      <c r="AK12" s="183">
        <f t="shared" si="7"/>
        <v>7016.5954732</v>
      </c>
      <c r="AL12" s="180">
        <f t="shared" si="8"/>
        <v>0.10374088723149519</v>
      </c>
      <c r="AM12" s="183">
        <f t="shared" si="9"/>
        <v>0</v>
      </c>
      <c r="AN12" s="174">
        <f t="shared" si="10"/>
        <v>0</v>
      </c>
      <c r="AO12" s="193">
        <f t="shared" si="11"/>
        <v>0</v>
      </c>
      <c r="AP12" s="197">
        <f t="shared" si="12"/>
        <v>57</v>
      </c>
      <c r="AQ12" s="209">
        <f t="shared" si="13"/>
        <v>49</v>
      </c>
      <c r="AR12" s="209">
        <f t="shared" si="14"/>
        <v>8</v>
      </c>
      <c r="AS12" s="210">
        <f t="shared" si="15"/>
        <v>57</v>
      </c>
      <c r="AT12" s="205">
        <f t="shared" si="16"/>
        <v>0</v>
      </c>
      <c r="AU12" s="16">
        <f t="shared" si="17"/>
        <v>240</v>
      </c>
      <c r="AV12" s="188">
        <f t="shared" si="18"/>
        <v>240</v>
      </c>
      <c r="AW12" s="197">
        <f t="shared" si="19"/>
        <v>237</v>
      </c>
      <c r="AX12" s="174">
        <f t="shared" si="20"/>
        <v>0.45147679324894513</v>
      </c>
      <c r="AY12" s="180">
        <f t="shared" si="21"/>
        <v>0.54852320675105481</v>
      </c>
      <c r="AZ12" s="183">
        <f t="shared" si="22"/>
        <v>0</v>
      </c>
      <c r="BA12" s="189">
        <f t="shared" si="23"/>
        <v>1700</v>
      </c>
      <c r="BB12" s="211">
        <f t="shared" si="24"/>
        <v>132</v>
      </c>
      <c r="BC12" s="198">
        <f t="shared" si="25"/>
        <v>9052</v>
      </c>
      <c r="BG12" s="16"/>
      <c r="BH12" s="16"/>
      <c r="BI12" s="16"/>
      <c r="BJ12" s="16"/>
      <c r="BK12" s="16"/>
      <c r="BL12" s="16"/>
      <c r="BM12" s="16"/>
      <c r="BN12" s="16"/>
      <c r="BO12" s="16"/>
      <c r="BP12" s="16"/>
      <c r="BQ12" s="16"/>
      <c r="BR12" s="16"/>
    </row>
    <row r="13" spans="2:89" ht="55.2" x14ac:dyDescent="0.3">
      <c r="B13" s="6">
        <f t="shared" si="26"/>
        <v>10</v>
      </c>
      <c r="C13" s="53" t="s">
        <v>509</v>
      </c>
      <c r="D13" s="11" t="s">
        <v>379</v>
      </c>
      <c r="E13" s="6" t="s">
        <v>386</v>
      </c>
      <c r="F13" s="54" t="s">
        <v>110</v>
      </c>
      <c r="G13" s="54" t="s">
        <v>111</v>
      </c>
      <c r="H13" s="10">
        <v>44379</v>
      </c>
      <c r="I13" s="10">
        <v>44554</v>
      </c>
      <c r="J13" s="55" t="s">
        <v>112</v>
      </c>
      <c r="K13" s="6" t="s">
        <v>385</v>
      </c>
      <c r="L13" s="20" t="s">
        <v>455</v>
      </c>
      <c r="M13" s="121" t="s">
        <v>514</v>
      </c>
      <c r="N13" s="20" t="s">
        <v>457</v>
      </c>
      <c r="O13" s="20">
        <v>6048.2065679999996</v>
      </c>
      <c r="P13" s="41">
        <v>175</v>
      </c>
      <c r="Q13" s="41">
        <v>32</v>
      </c>
      <c r="R13" s="46" t="s">
        <v>383</v>
      </c>
      <c r="S13" s="115">
        <v>320</v>
      </c>
      <c r="T13" s="115">
        <v>1520</v>
      </c>
      <c r="U13" s="30">
        <v>210</v>
      </c>
      <c r="V13" s="30">
        <v>17</v>
      </c>
      <c r="W13" s="30">
        <v>11</v>
      </c>
      <c r="X13" s="30">
        <v>211.75</v>
      </c>
      <c r="Y13" s="30">
        <v>95.287500000000009</v>
      </c>
      <c r="Z13" s="30">
        <v>66</v>
      </c>
      <c r="AA13" s="13">
        <f t="shared" si="0"/>
        <v>66</v>
      </c>
      <c r="AB13" s="30">
        <v>3500</v>
      </c>
      <c r="AD13" s="3" t="s">
        <v>392</v>
      </c>
      <c r="AE13" s="183">
        <f t="shared" si="1"/>
        <v>9627.8684737799995</v>
      </c>
      <c r="AF13" s="180">
        <f t="shared" si="2"/>
        <v>5.0389418893829585E-2</v>
      </c>
      <c r="AG13" s="183">
        <f t="shared" si="3"/>
        <v>9627.8684737799995</v>
      </c>
      <c r="AH13" s="180">
        <f t="shared" si="4"/>
        <v>8.5264878237924752E-2</v>
      </c>
      <c r="AI13" s="183">
        <f t="shared" si="5"/>
        <v>0</v>
      </c>
      <c r="AJ13" s="180">
        <f t="shared" si="6"/>
        <v>0</v>
      </c>
      <c r="AK13" s="183">
        <f t="shared" si="7"/>
        <v>0</v>
      </c>
      <c r="AL13" s="180">
        <f t="shared" si="8"/>
        <v>0</v>
      </c>
      <c r="AM13" s="183">
        <f t="shared" si="9"/>
        <v>9627.8684737799995</v>
      </c>
      <c r="AN13" s="174">
        <f t="shared" si="10"/>
        <v>7.8000466259901063E-2</v>
      </c>
      <c r="AO13" s="193">
        <f t="shared" si="11"/>
        <v>52</v>
      </c>
      <c r="AP13" s="197">
        <f t="shared" si="12"/>
        <v>58</v>
      </c>
      <c r="AQ13" s="209">
        <f t="shared" si="13"/>
        <v>27</v>
      </c>
      <c r="AR13" s="209">
        <f t="shared" si="14"/>
        <v>31</v>
      </c>
      <c r="AS13" s="210">
        <f t="shared" si="15"/>
        <v>110</v>
      </c>
      <c r="AT13" s="205">
        <f t="shared" si="16"/>
        <v>280</v>
      </c>
      <c r="AU13" s="16">
        <f t="shared" si="17"/>
        <v>230</v>
      </c>
      <c r="AV13" s="188">
        <f t="shared" si="18"/>
        <v>510</v>
      </c>
      <c r="AW13" s="197">
        <f t="shared" si="19"/>
        <v>535</v>
      </c>
      <c r="AX13" s="174">
        <f t="shared" si="20"/>
        <v>0.54205607476635509</v>
      </c>
      <c r="AY13" s="180">
        <f t="shared" si="21"/>
        <v>0.45794392523364486</v>
      </c>
      <c r="AZ13" s="183">
        <f t="shared" si="22"/>
        <v>1875</v>
      </c>
      <c r="BA13" s="189">
        <f t="shared" si="23"/>
        <v>3189.1800000000003</v>
      </c>
      <c r="BB13" s="211">
        <f t="shared" si="24"/>
        <v>390</v>
      </c>
      <c r="BC13" s="198">
        <f t="shared" si="25"/>
        <v>9811</v>
      </c>
      <c r="BG13" s="16"/>
      <c r="BH13" s="16"/>
      <c r="BI13" s="16"/>
      <c r="BJ13" s="16"/>
      <c r="BK13" s="16"/>
      <c r="BL13" s="16"/>
      <c r="BM13" s="16"/>
      <c r="BN13" s="16"/>
      <c r="BO13" s="16"/>
      <c r="BP13" s="16"/>
      <c r="BQ13" s="16"/>
      <c r="BR13" s="16"/>
    </row>
    <row r="14" spans="2:89" ht="55.2" x14ac:dyDescent="0.3">
      <c r="B14" s="6">
        <f t="shared" si="26"/>
        <v>11</v>
      </c>
      <c r="C14" s="53" t="s">
        <v>510</v>
      </c>
      <c r="D14" s="11" t="s">
        <v>379</v>
      </c>
      <c r="E14" s="6" t="s">
        <v>386</v>
      </c>
      <c r="F14" s="54" t="s">
        <v>113</v>
      </c>
      <c r="G14" s="54" t="s">
        <v>114</v>
      </c>
      <c r="H14" s="10">
        <v>44288</v>
      </c>
      <c r="I14" s="10">
        <v>44374</v>
      </c>
      <c r="J14" s="55" t="s">
        <v>115</v>
      </c>
      <c r="K14" s="6" t="s">
        <v>385</v>
      </c>
      <c r="L14" s="20" t="s">
        <v>455</v>
      </c>
      <c r="M14" s="121" t="s">
        <v>513</v>
      </c>
      <c r="N14" s="20" t="s">
        <v>456</v>
      </c>
      <c r="O14" s="20">
        <v>6477.4875429999993</v>
      </c>
      <c r="P14" s="41">
        <v>180</v>
      </c>
      <c r="Q14" s="41">
        <v>50</v>
      </c>
      <c r="R14" s="46" t="s">
        <v>383</v>
      </c>
      <c r="S14" s="115">
        <v>1170</v>
      </c>
      <c r="T14" s="115">
        <v>1950</v>
      </c>
      <c r="U14" s="30">
        <v>120</v>
      </c>
      <c r="V14" s="30">
        <v>14</v>
      </c>
      <c r="W14" s="30">
        <v>16</v>
      </c>
      <c r="X14" s="30">
        <v>165</v>
      </c>
      <c r="Y14" s="30">
        <v>74.25</v>
      </c>
      <c r="Z14" s="30">
        <v>240</v>
      </c>
      <c r="AA14" s="13">
        <f t="shared" si="0"/>
        <v>240</v>
      </c>
      <c r="AB14" s="30">
        <v>5560</v>
      </c>
      <c r="AD14" s="3" t="s">
        <v>394</v>
      </c>
      <c r="AE14" s="183">
        <f t="shared" si="1"/>
        <v>10400.492426999999</v>
      </c>
      <c r="AF14" s="180">
        <f t="shared" si="2"/>
        <v>5.4433104381664675E-2</v>
      </c>
      <c r="AG14" s="183">
        <f t="shared" si="3"/>
        <v>10400.492426999999</v>
      </c>
      <c r="AH14" s="180">
        <f t="shared" si="4"/>
        <v>9.2107274088513588E-2</v>
      </c>
      <c r="AI14" s="183">
        <f t="shared" si="5"/>
        <v>0</v>
      </c>
      <c r="AJ14" s="180">
        <f t="shared" si="6"/>
        <v>0</v>
      </c>
      <c r="AK14" s="183">
        <f t="shared" si="7"/>
        <v>4991.031907999999</v>
      </c>
      <c r="AL14" s="180">
        <f t="shared" si="8"/>
        <v>7.379277889316388E-2</v>
      </c>
      <c r="AM14" s="183">
        <f t="shared" si="9"/>
        <v>5409.4605190000002</v>
      </c>
      <c r="AN14" s="174">
        <f t="shared" si="10"/>
        <v>4.3824907231088117E-2</v>
      </c>
      <c r="AO14" s="193">
        <f t="shared" si="11"/>
        <v>26.34</v>
      </c>
      <c r="AP14" s="197">
        <f t="shared" si="12"/>
        <v>38</v>
      </c>
      <c r="AQ14" s="209">
        <f t="shared" si="13"/>
        <v>25</v>
      </c>
      <c r="AR14" s="209">
        <f t="shared" si="14"/>
        <v>13</v>
      </c>
      <c r="AS14" s="210">
        <f t="shared" si="15"/>
        <v>64.34</v>
      </c>
      <c r="AT14" s="205">
        <f t="shared" si="16"/>
        <v>140</v>
      </c>
      <c r="AU14" s="16">
        <f t="shared" si="17"/>
        <v>190</v>
      </c>
      <c r="AV14" s="188">
        <f t="shared" si="18"/>
        <v>330</v>
      </c>
      <c r="AW14" s="197">
        <f t="shared" si="19"/>
        <v>346</v>
      </c>
      <c r="AX14" s="174">
        <f t="shared" si="20"/>
        <v>0.46242774566473988</v>
      </c>
      <c r="AY14" s="180">
        <f t="shared" si="21"/>
        <v>0.53757225433526012</v>
      </c>
      <c r="AZ14" s="183">
        <f t="shared" si="22"/>
        <v>923.72</v>
      </c>
      <c r="BA14" s="189">
        <f t="shared" si="23"/>
        <v>7365.77</v>
      </c>
      <c r="BB14" s="211">
        <f t="shared" si="24"/>
        <v>255</v>
      </c>
      <c r="BC14" s="198">
        <f t="shared" si="25"/>
        <v>9804</v>
      </c>
      <c r="BG14" s="16"/>
      <c r="BH14" s="16"/>
      <c r="BI14" s="16"/>
      <c r="BJ14" s="16"/>
      <c r="BK14" s="16"/>
      <c r="BL14" s="16"/>
      <c r="BM14" s="16"/>
      <c r="BN14" s="16"/>
      <c r="BO14" s="16"/>
      <c r="BP14" s="16"/>
      <c r="BQ14" s="16"/>
      <c r="BR14" s="16"/>
    </row>
    <row r="15" spans="2:89" ht="55.2" x14ac:dyDescent="0.3">
      <c r="B15" s="6">
        <f t="shared" si="26"/>
        <v>12</v>
      </c>
      <c r="C15" s="53" t="s">
        <v>515</v>
      </c>
      <c r="D15" s="11" t="s">
        <v>379</v>
      </c>
      <c r="E15" s="6" t="s">
        <v>386</v>
      </c>
      <c r="F15" s="54" t="s">
        <v>116</v>
      </c>
      <c r="G15" s="54" t="s">
        <v>117</v>
      </c>
      <c r="H15" s="10">
        <v>43501</v>
      </c>
      <c r="I15" s="10">
        <v>43748</v>
      </c>
      <c r="J15" s="55" t="s">
        <v>118</v>
      </c>
      <c r="K15" s="6" t="s">
        <v>385</v>
      </c>
      <c r="L15" s="20" t="s">
        <v>455</v>
      </c>
      <c r="M15" s="121" t="s">
        <v>495</v>
      </c>
      <c r="N15" s="20" t="s">
        <v>456</v>
      </c>
      <c r="O15" s="20">
        <v>5259.7129999999997</v>
      </c>
      <c r="P15" s="41">
        <v>84</v>
      </c>
      <c r="Q15" s="41">
        <v>18</v>
      </c>
      <c r="R15" s="46" t="s">
        <v>383</v>
      </c>
      <c r="S15" s="115">
        <v>540</v>
      </c>
      <c r="T15" s="115">
        <v>1620</v>
      </c>
      <c r="U15" s="30">
        <v>280</v>
      </c>
      <c r="V15" s="30">
        <v>19</v>
      </c>
      <c r="W15" s="30">
        <v>14</v>
      </c>
      <c r="X15" s="30">
        <v>200.2</v>
      </c>
      <c r="Y15" s="30">
        <v>90.09</v>
      </c>
      <c r="Z15" s="30">
        <v>250</v>
      </c>
      <c r="AA15" s="13">
        <f t="shared" si="0"/>
        <v>250</v>
      </c>
      <c r="AB15" s="30">
        <v>2456</v>
      </c>
      <c r="AD15" s="3" t="s">
        <v>393</v>
      </c>
      <c r="AE15" s="183">
        <f t="shared" si="1"/>
        <v>3879.3028765165436</v>
      </c>
      <c r="AF15" s="181">
        <f t="shared" si="2"/>
        <v>2.0303125057553304E-2</v>
      </c>
      <c r="AG15" s="183">
        <f t="shared" si="3"/>
        <v>3879.3028765165436</v>
      </c>
      <c r="AH15" s="181">
        <f t="shared" si="4"/>
        <v>3.4355297677259533E-2</v>
      </c>
      <c r="AI15" s="183">
        <f t="shared" si="5"/>
        <v>0</v>
      </c>
      <c r="AJ15" s="181">
        <f t="shared" si="6"/>
        <v>0</v>
      </c>
      <c r="AK15" s="183">
        <f t="shared" si="7"/>
        <v>0</v>
      </c>
      <c r="AL15" s="181">
        <f t="shared" si="8"/>
        <v>0</v>
      </c>
      <c r="AM15" s="183">
        <f t="shared" si="9"/>
        <v>3879.3028765165436</v>
      </c>
      <c r="AN15" s="176">
        <f t="shared" si="10"/>
        <v>3.1428289029468523E-2</v>
      </c>
      <c r="AO15" s="193">
        <f t="shared" si="11"/>
        <v>25</v>
      </c>
      <c r="AP15" s="197">
        <f t="shared" si="12"/>
        <v>6</v>
      </c>
      <c r="AQ15" s="209">
        <f t="shared" si="13"/>
        <v>4</v>
      </c>
      <c r="AR15" s="209">
        <f t="shared" si="14"/>
        <v>2</v>
      </c>
      <c r="AS15" s="210">
        <f t="shared" si="15"/>
        <v>31</v>
      </c>
      <c r="AT15" s="183">
        <f t="shared" si="16"/>
        <v>140</v>
      </c>
      <c r="AU15" s="173">
        <f t="shared" si="17"/>
        <v>40</v>
      </c>
      <c r="AV15" s="189">
        <f t="shared" si="18"/>
        <v>180</v>
      </c>
      <c r="AW15" s="197">
        <f t="shared" si="19"/>
        <v>90</v>
      </c>
      <c r="AX15" s="176">
        <f t="shared" si="20"/>
        <v>0.5</v>
      </c>
      <c r="AY15" s="181">
        <f t="shared" si="21"/>
        <v>0.5</v>
      </c>
      <c r="AZ15" s="183">
        <f t="shared" si="22"/>
        <v>1135</v>
      </c>
      <c r="BA15" s="189">
        <f t="shared" si="23"/>
        <v>1289</v>
      </c>
      <c r="BB15" s="211">
        <f t="shared" si="24"/>
        <v>50</v>
      </c>
      <c r="BC15" s="198">
        <f t="shared" si="25"/>
        <v>1224</v>
      </c>
      <c r="BG15" s="16"/>
      <c r="BH15" s="16"/>
      <c r="BI15" s="16"/>
      <c r="BJ15" s="16"/>
      <c r="BK15" s="16"/>
      <c r="BL15" s="16"/>
      <c r="BM15" s="16"/>
      <c r="BN15" s="16"/>
      <c r="BO15" s="16"/>
      <c r="BP15" s="16"/>
      <c r="BQ15" s="16"/>
      <c r="BR15" s="16"/>
    </row>
    <row r="16" spans="2:89" ht="55.2" x14ac:dyDescent="0.3">
      <c r="B16" s="6">
        <f t="shared" si="26"/>
        <v>13</v>
      </c>
      <c r="C16" s="63" t="s">
        <v>516</v>
      </c>
      <c r="D16" s="11" t="s">
        <v>379</v>
      </c>
      <c r="E16" s="11" t="s">
        <v>399</v>
      </c>
      <c r="F16" s="6" t="s">
        <v>148</v>
      </c>
      <c r="G16" s="26" t="s">
        <v>149</v>
      </c>
      <c r="H16" s="10">
        <v>44263</v>
      </c>
      <c r="I16" s="29">
        <v>44484</v>
      </c>
      <c r="J16" s="64" t="s">
        <v>153</v>
      </c>
      <c r="K16" s="6" t="s">
        <v>385</v>
      </c>
      <c r="L16" s="20" t="s">
        <v>458</v>
      </c>
      <c r="M16" s="121" t="s">
        <v>517</v>
      </c>
      <c r="N16" s="20" t="s">
        <v>456</v>
      </c>
      <c r="O16" s="20">
        <v>3791.0100916000001</v>
      </c>
      <c r="P16" s="20">
        <v>0</v>
      </c>
      <c r="Q16" s="20">
        <v>0</v>
      </c>
      <c r="R16" s="46" t="s">
        <v>381</v>
      </c>
      <c r="S16" s="25"/>
      <c r="T16" s="25">
        <v>800</v>
      </c>
      <c r="U16" s="20">
        <v>120</v>
      </c>
      <c r="V16" s="20">
        <v>20</v>
      </c>
      <c r="W16" s="20">
        <v>4</v>
      </c>
      <c r="X16" s="20">
        <v>57</v>
      </c>
      <c r="Y16" s="20">
        <v>63</v>
      </c>
      <c r="Z16" s="20">
        <v>51</v>
      </c>
      <c r="AA16" s="13">
        <f t="shared" si="0"/>
        <v>51</v>
      </c>
      <c r="AB16" s="20">
        <v>5552</v>
      </c>
      <c r="AD16" s="3" t="s">
        <v>395</v>
      </c>
      <c r="AE16" s="183">
        <f t="shared" si="1"/>
        <v>6185.4480046800072</v>
      </c>
      <c r="AF16" s="180">
        <f t="shared" si="2"/>
        <v>3.2372807273244153E-2</v>
      </c>
      <c r="AG16" s="183">
        <f t="shared" si="3"/>
        <v>0</v>
      </c>
      <c r="AH16" s="180">
        <f t="shared" si="4"/>
        <v>0</v>
      </c>
      <c r="AI16" s="183">
        <f t="shared" si="5"/>
        <v>6185.4480046800072</v>
      </c>
      <c r="AJ16" s="180">
        <f t="shared" si="6"/>
        <v>7.9146297203976826E-2</v>
      </c>
      <c r="AK16" s="183">
        <f t="shared" si="7"/>
        <v>0</v>
      </c>
      <c r="AL16" s="180">
        <f t="shared" si="8"/>
        <v>0</v>
      </c>
      <c r="AM16" s="183">
        <f t="shared" si="9"/>
        <v>6185.4480046800072</v>
      </c>
      <c r="AN16" s="174">
        <f t="shared" si="10"/>
        <v>5.0111593205218921E-2</v>
      </c>
      <c r="AO16" s="193">
        <f t="shared" si="11"/>
        <v>49</v>
      </c>
      <c r="AP16" s="197">
        <f t="shared" si="12"/>
        <v>25</v>
      </c>
      <c r="AQ16" s="209">
        <f t="shared" si="13"/>
        <v>10</v>
      </c>
      <c r="AR16" s="209">
        <f t="shared" si="14"/>
        <v>15</v>
      </c>
      <c r="AS16" s="210">
        <f t="shared" si="15"/>
        <v>74</v>
      </c>
      <c r="AT16" s="205">
        <f t="shared" si="16"/>
        <v>360</v>
      </c>
      <c r="AU16" s="16">
        <f t="shared" si="17"/>
        <v>0</v>
      </c>
      <c r="AV16" s="188">
        <f t="shared" si="18"/>
        <v>360</v>
      </c>
      <c r="AW16" s="197">
        <f t="shared" si="19"/>
        <v>329</v>
      </c>
      <c r="AX16" s="174">
        <f t="shared" si="20"/>
        <v>0.48024316109422494</v>
      </c>
      <c r="AY16" s="180">
        <f t="shared" si="21"/>
        <v>0.51975683890577506</v>
      </c>
      <c r="AZ16" s="183">
        <f t="shared" si="22"/>
        <v>3817</v>
      </c>
      <c r="BA16" s="189">
        <f t="shared" si="23"/>
        <v>3817</v>
      </c>
      <c r="BB16" s="211">
        <f t="shared" si="24"/>
        <v>160</v>
      </c>
      <c r="BC16" s="198">
        <f t="shared" si="25"/>
        <v>5120</v>
      </c>
      <c r="BG16" s="16"/>
      <c r="BH16" s="16"/>
      <c r="BI16" s="16"/>
      <c r="BJ16" s="16"/>
      <c r="BK16" s="16"/>
      <c r="BL16" s="16"/>
      <c r="BM16" s="16"/>
      <c r="BN16" s="16"/>
      <c r="BO16" s="16"/>
      <c r="BP16" s="16"/>
      <c r="BQ16" s="16"/>
      <c r="BR16" s="16"/>
    </row>
    <row r="17" spans="2:55" ht="69" x14ac:dyDescent="0.3">
      <c r="B17" s="6">
        <f t="shared" si="26"/>
        <v>14</v>
      </c>
      <c r="C17" s="63" t="s">
        <v>518</v>
      </c>
      <c r="D17" s="11" t="s">
        <v>379</v>
      </c>
      <c r="E17" s="11" t="s">
        <v>399</v>
      </c>
      <c r="F17" s="6" t="s">
        <v>148</v>
      </c>
      <c r="G17" s="26" t="s">
        <v>149</v>
      </c>
      <c r="H17" s="10">
        <v>44313</v>
      </c>
      <c r="I17" s="29">
        <v>44676</v>
      </c>
      <c r="J17" s="64" t="s">
        <v>154</v>
      </c>
      <c r="K17" s="6" t="s">
        <v>385</v>
      </c>
      <c r="L17" s="20" t="s">
        <v>458</v>
      </c>
      <c r="M17" s="121" t="s">
        <v>519</v>
      </c>
      <c r="N17" s="20" t="s">
        <v>456</v>
      </c>
      <c r="O17" s="20">
        <v>3225.5853815999999</v>
      </c>
      <c r="P17" s="20">
        <v>0</v>
      </c>
      <c r="Q17" s="20">
        <v>0</v>
      </c>
      <c r="R17" s="46" t="s">
        <v>381</v>
      </c>
      <c r="S17" s="25">
        <v>0</v>
      </c>
      <c r="T17" s="25">
        <v>900</v>
      </c>
      <c r="U17" s="20">
        <v>120</v>
      </c>
      <c r="V17" s="20">
        <v>29</v>
      </c>
      <c r="W17" s="20">
        <v>4</v>
      </c>
      <c r="X17" s="20">
        <v>50</v>
      </c>
      <c r="Y17" s="20">
        <v>67</v>
      </c>
      <c r="Z17" s="20">
        <v>81</v>
      </c>
      <c r="AA17" s="13">
        <f t="shared" si="0"/>
        <v>81</v>
      </c>
      <c r="AB17" s="20">
        <v>3500</v>
      </c>
      <c r="AD17" s="3" t="s">
        <v>396</v>
      </c>
      <c r="AE17" s="183">
        <f t="shared" si="1"/>
        <v>23246.976078189997</v>
      </c>
      <c r="AF17" s="180">
        <f t="shared" si="2"/>
        <v>0.12166780412599958</v>
      </c>
      <c r="AG17" s="183">
        <f t="shared" si="3"/>
        <v>0</v>
      </c>
      <c r="AH17" s="180">
        <f t="shared" si="4"/>
        <v>0</v>
      </c>
      <c r="AI17" s="183">
        <f t="shared" si="5"/>
        <v>23246.976078189997</v>
      </c>
      <c r="AJ17" s="180">
        <f t="shared" si="6"/>
        <v>0.29745817544437503</v>
      </c>
      <c r="AK17" s="183">
        <f t="shared" si="7"/>
        <v>6211.6390190000002</v>
      </c>
      <c r="AL17" s="180">
        <f t="shared" si="8"/>
        <v>9.1839546038265177E-2</v>
      </c>
      <c r="AM17" s="183">
        <f t="shared" si="9"/>
        <v>17035.337059189998</v>
      </c>
      <c r="AN17" s="174">
        <f t="shared" si="10"/>
        <v>0.13801229598535483</v>
      </c>
      <c r="AO17" s="193">
        <f t="shared" si="11"/>
        <v>113</v>
      </c>
      <c r="AP17" s="197">
        <f t="shared" si="12"/>
        <v>75</v>
      </c>
      <c r="AQ17" s="209">
        <f t="shared" si="13"/>
        <v>52</v>
      </c>
      <c r="AR17" s="209">
        <f t="shared" si="14"/>
        <v>23</v>
      </c>
      <c r="AS17" s="210">
        <f t="shared" si="15"/>
        <v>188</v>
      </c>
      <c r="AT17" s="205">
        <f t="shared" si="16"/>
        <v>600</v>
      </c>
      <c r="AU17" s="16">
        <f t="shared" si="17"/>
        <v>390</v>
      </c>
      <c r="AV17" s="188">
        <f t="shared" si="18"/>
        <v>990</v>
      </c>
      <c r="AW17" s="197">
        <f t="shared" si="19"/>
        <v>793</v>
      </c>
      <c r="AX17" s="174">
        <f t="shared" si="20"/>
        <v>0.50945775535939475</v>
      </c>
      <c r="AY17" s="180">
        <f t="shared" si="21"/>
        <v>0.49054224464060531</v>
      </c>
      <c r="AZ17" s="183">
        <f t="shared" si="22"/>
        <v>4208.8999999999996</v>
      </c>
      <c r="BA17" s="189">
        <f t="shared" si="23"/>
        <v>6069.9</v>
      </c>
      <c r="BB17" s="211">
        <f t="shared" si="24"/>
        <v>219</v>
      </c>
      <c r="BC17" s="198">
        <f t="shared" si="25"/>
        <v>9903</v>
      </c>
    </row>
    <row r="18" spans="2:55" ht="69" x14ac:dyDescent="0.25">
      <c r="B18" s="6">
        <f t="shared" si="26"/>
        <v>15</v>
      </c>
      <c r="C18" s="17" t="s">
        <v>520</v>
      </c>
      <c r="D18" s="11" t="s">
        <v>379</v>
      </c>
      <c r="E18" s="11" t="s">
        <v>392</v>
      </c>
      <c r="F18" s="11" t="s">
        <v>166</v>
      </c>
      <c r="G18" s="70" t="s">
        <v>167</v>
      </c>
      <c r="H18" s="10">
        <v>44287</v>
      </c>
      <c r="I18" s="10">
        <v>44461</v>
      </c>
      <c r="J18" s="71" t="s">
        <v>168</v>
      </c>
      <c r="K18" s="6" t="s">
        <v>385</v>
      </c>
      <c r="L18" s="20" t="s">
        <v>455</v>
      </c>
      <c r="M18" s="121" t="s">
        <v>521</v>
      </c>
      <c r="N18" s="20" t="s">
        <v>456</v>
      </c>
      <c r="O18" s="20">
        <v>4268.90725862</v>
      </c>
      <c r="P18" s="13">
        <v>0</v>
      </c>
      <c r="Q18" s="13">
        <v>0</v>
      </c>
      <c r="R18" s="46" t="s">
        <v>381</v>
      </c>
      <c r="S18" s="14">
        <v>150</v>
      </c>
      <c r="T18" s="14">
        <v>1092.18</v>
      </c>
      <c r="U18" s="13">
        <v>150</v>
      </c>
      <c r="V18" s="13">
        <v>15</v>
      </c>
      <c r="W18" s="13">
        <v>13</v>
      </c>
      <c r="X18" s="13">
        <v>90</v>
      </c>
      <c r="Y18" s="13">
        <v>85</v>
      </c>
      <c r="Z18" s="13">
        <v>110</v>
      </c>
      <c r="AA18" s="13">
        <f t="shared" si="0"/>
        <v>110</v>
      </c>
      <c r="AB18" s="20">
        <v>4441</v>
      </c>
      <c r="AD18" s="161"/>
      <c r="AE18" s="172">
        <f>+SUM(AE4:AE17)</f>
        <v>191069.24995634303</v>
      </c>
      <c r="AF18" s="199"/>
      <c r="AG18" s="172">
        <f>+SUM(AG4:AG17)</f>
        <v>112917.16674847304</v>
      </c>
      <c r="AH18" s="199"/>
      <c r="AI18" s="172">
        <f>+SUM(AI4:AI17)</f>
        <v>78152.083207870019</v>
      </c>
      <c r="AJ18" s="199"/>
      <c r="AK18" s="172">
        <f>+SUM(AK4:AK17)</f>
        <v>67635.77660120299</v>
      </c>
      <c r="AL18" s="200"/>
      <c r="AM18" s="172">
        <f>+SUM(AM4:AM17)</f>
        <v>123433.47335514006</v>
      </c>
      <c r="AN18" s="200"/>
      <c r="AO18" s="195">
        <f t="shared" ref="AO18:AW18" si="28">+SUM(AO4:AO17)</f>
        <v>880.34</v>
      </c>
      <c r="AP18" s="195">
        <f t="shared" si="28"/>
        <v>812</v>
      </c>
      <c r="AQ18" s="196">
        <f t="shared" si="28"/>
        <v>484</v>
      </c>
      <c r="AR18" s="196">
        <f t="shared" si="28"/>
        <v>328</v>
      </c>
      <c r="AS18" s="195">
        <f t="shared" si="28"/>
        <v>1692.34</v>
      </c>
      <c r="AT18" s="195">
        <f t="shared" si="28"/>
        <v>4204</v>
      </c>
      <c r="AU18" s="195">
        <f t="shared" si="28"/>
        <v>4240</v>
      </c>
      <c r="AV18" s="195">
        <f t="shared" si="28"/>
        <v>8444</v>
      </c>
      <c r="AW18" s="195">
        <f t="shared" si="28"/>
        <v>7625.29</v>
      </c>
      <c r="AX18" s="5"/>
      <c r="AY18" s="5"/>
      <c r="AZ18" s="172">
        <f>+SUM(AZ4:AZ17)</f>
        <v>32801.43</v>
      </c>
      <c r="BA18" s="172">
        <f>+SUM(BA4:BA17)</f>
        <v>75279.789999999994</v>
      </c>
      <c r="BB18" s="195">
        <f>+SUM(BB4:BB17)</f>
        <v>4035</v>
      </c>
      <c r="BC18" s="195">
        <f>+SUM(BC4:BC17)</f>
        <v>133634</v>
      </c>
    </row>
    <row r="19" spans="2:55" ht="55.2" x14ac:dyDescent="0.25">
      <c r="B19" s="6">
        <f t="shared" si="26"/>
        <v>16</v>
      </c>
      <c r="C19" s="69" t="s">
        <v>522</v>
      </c>
      <c r="D19" s="11" t="s">
        <v>379</v>
      </c>
      <c r="E19" s="11" t="s">
        <v>392</v>
      </c>
      <c r="F19" s="11" t="s">
        <v>169</v>
      </c>
      <c r="G19" s="70" t="s">
        <v>170</v>
      </c>
      <c r="H19" s="67">
        <v>44146</v>
      </c>
      <c r="I19" s="67">
        <v>44531</v>
      </c>
      <c r="J19" s="72" t="s">
        <v>171</v>
      </c>
      <c r="K19" s="6" t="s">
        <v>385</v>
      </c>
      <c r="L19" s="20" t="s">
        <v>455</v>
      </c>
      <c r="M19" s="121" t="s">
        <v>496</v>
      </c>
      <c r="N19" s="20" t="s">
        <v>456</v>
      </c>
      <c r="O19" s="20">
        <v>5358.9612151599995</v>
      </c>
      <c r="P19" s="122">
        <v>280</v>
      </c>
      <c r="Q19" s="122">
        <v>52</v>
      </c>
      <c r="R19" s="121" t="s">
        <v>383</v>
      </c>
      <c r="S19" s="123">
        <v>1725</v>
      </c>
      <c r="T19" s="123">
        <v>2097</v>
      </c>
      <c r="U19" s="124">
        <v>80</v>
      </c>
      <c r="V19" s="124">
        <v>12</v>
      </c>
      <c r="W19" s="68">
        <v>18</v>
      </c>
      <c r="X19" s="68">
        <v>200</v>
      </c>
      <c r="Y19" s="68">
        <v>160</v>
      </c>
      <c r="Z19" s="68">
        <v>280</v>
      </c>
      <c r="AA19" s="13">
        <f t="shared" si="0"/>
        <v>280</v>
      </c>
      <c r="AB19" s="68">
        <v>5370</v>
      </c>
      <c r="AE19" s="167" t="b">
        <f>+AE18=O39</f>
        <v>1</v>
      </c>
      <c r="AF19" s="201"/>
      <c r="AG19" s="201"/>
      <c r="AH19" s="201"/>
      <c r="AI19" s="167" t="b">
        <f>+SUM(AG18:AI18)=AE18</f>
        <v>1</v>
      </c>
      <c r="AJ19" s="201"/>
      <c r="AK19" s="161"/>
      <c r="AL19" s="161"/>
      <c r="AM19" s="167" t="b">
        <f>+SUM(AK18:AM18)=AE18</f>
        <v>1</v>
      </c>
      <c r="AN19" s="161"/>
      <c r="AO19" s="167" t="b">
        <f>+AO18=Q39</f>
        <v>1</v>
      </c>
      <c r="AP19" s="16"/>
      <c r="AQ19" s="168" t="b">
        <f>+AQ18=V39</f>
        <v>1</v>
      </c>
      <c r="AR19" s="168" t="b">
        <f>+AR18=W39</f>
        <v>1</v>
      </c>
      <c r="AS19" s="168" t="b">
        <f>+AO18+AP18=AS18</f>
        <v>1</v>
      </c>
      <c r="AT19" s="168" t="b">
        <f>+AT18=P39</f>
        <v>1</v>
      </c>
      <c r="AU19" s="168" t="b">
        <f>+AU18=U39</f>
        <v>1</v>
      </c>
      <c r="AW19" s="168" t="b">
        <f>+AW18=X39+Y39</f>
        <v>1</v>
      </c>
      <c r="AZ19" s="168" t="b">
        <f>+AZ18=S39</f>
        <v>1</v>
      </c>
      <c r="BA19" s="168" t="b">
        <f>+BA18=T39</f>
        <v>1</v>
      </c>
      <c r="BB19" s="168" t="b">
        <f>+BB18=Z39</f>
        <v>1</v>
      </c>
      <c r="BC19" s="168" t="b">
        <f>+BC18=AB39</f>
        <v>1</v>
      </c>
    </row>
    <row r="20" spans="2:55" ht="55.2" x14ac:dyDescent="0.3">
      <c r="B20" s="6">
        <f t="shared" si="26"/>
        <v>17</v>
      </c>
      <c r="C20" s="63" t="s">
        <v>523</v>
      </c>
      <c r="D20" s="11" t="s">
        <v>379</v>
      </c>
      <c r="E20" s="11" t="s">
        <v>388</v>
      </c>
      <c r="F20" s="11" t="s">
        <v>187</v>
      </c>
      <c r="G20" s="6" t="s">
        <v>188</v>
      </c>
      <c r="H20" s="10" t="s">
        <v>158</v>
      </c>
      <c r="I20" s="10" t="s">
        <v>75</v>
      </c>
      <c r="J20" s="17" t="s">
        <v>189</v>
      </c>
      <c r="K20" s="6" t="s">
        <v>385</v>
      </c>
      <c r="L20" s="20" t="s">
        <v>455</v>
      </c>
      <c r="M20" s="121" t="s">
        <v>497</v>
      </c>
      <c r="N20" s="20" t="s">
        <v>456</v>
      </c>
      <c r="O20" s="20">
        <v>3616.2787749999998</v>
      </c>
      <c r="P20" s="20">
        <v>75</v>
      </c>
      <c r="Q20" s="20">
        <v>23</v>
      </c>
      <c r="R20" s="121" t="s">
        <v>383</v>
      </c>
      <c r="S20" s="25">
        <v>1236</v>
      </c>
      <c r="T20" s="25">
        <v>3998</v>
      </c>
      <c r="U20" s="20">
        <v>75</v>
      </c>
      <c r="V20" s="20">
        <v>9</v>
      </c>
      <c r="W20" s="20">
        <v>3</v>
      </c>
      <c r="X20" s="20">
        <v>86</v>
      </c>
      <c r="Y20" s="20">
        <v>64</v>
      </c>
      <c r="Z20" s="41">
        <v>90</v>
      </c>
      <c r="AA20" s="13">
        <f t="shared" si="0"/>
        <v>90</v>
      </c>
      <c r="AB20" s="41">
        <v>1350</v>
      </c>
    </row>
    <row r="21" spans="2:55" ht="69" x14ac:dyDescent="0.3">
      <c r="B21" s="6">
        <f t="shared" si="26"/>
        <v>18</v>
      </c>
      <c r="C21" s="63" t="s">
        <v>525</v>
      </c>
      <c r="D21" s="11" t="s">
        <v>379</v>
      </c>
      <c r="E21" s="11" t="s">
        <v>388</v>
      </c>
      <c r="F21" s="11" t="s">
        <v>190</v>
      </c>
      <c r="G21" s="6" t="s">
        <v>191</v>
      </c>
      <c r="H21" s="10" t="s">
        <v>192</v>
      </c>
      <c r="I21" s="10" t="s">
        <v>193</v>
      </c>
      <c r="J21" s="17" t="s">
        <v>194</v>
      </c>
      <c r="K21" s="6" t="s">
        <v>385</v>
      </c>
      <c r="L21" s="20" t="s">
        <v>455</v>
      </c>
      <c r="M21" s="121" t="s">
        <v>524</v>
      </c>
      <c r="N21" s="20" t="s">
        <v>456</v>
      </c>
      <c r="O21" s="20">
        <v>4004.2989109999999</v>
      </c>
      <c r="P21" s="13">
        <v>120</v>
      </c>
      <c r="Q21" s="13">
        <v>36</v>
      </c>
      <c r="R21" s="121" t="s">
        <v>382</v>
      </c>
      <c r="S21" s="14">
        <v>7047.18</v>
      </c>
      <c r="T21" s="14">
        <v>7047.18</v>
      </c>
      <c r="U21" s="13">
        <v>120</v>
      </c>
      <c r="V21" s="13">
        <v>14</v>
      </c>
      <c r="W21" s="13">
        <v>10</v>
      </c>
      <c r="X21" s="13">
        <v>70</v>
      </c>
      <c r="Y21" s="13">
        <v>50</v>
      </c>
      <c r="Z21" s="41" t="s">
        <v>17</v>
      </c>
      <c r="AA21" s="13" t="str">
        <f t="shared" si="0"/>
        <v>-</v>
      </c>
      <c r="AB21" s="41">
        <v>2410</v>
      </c>
    </row>
    <row r="22" spans="2:55" s="16" customFormat="1" ht="69" x14ac:dyDescent="0.3">
      <c r="B22" s="6">
        <f t="shared" si="26"/>
        <v>19</v>
      </c>
      <c r="C22" s="17" t="s">
        <v>526</v>
      </c>
      <c r="D22" s="11" t="s">
        <v>379</v>
      </c>
      <c r="E22" s="11" t="s">
        <v>391</v>
      </c>
      <c r="F22" s="11" t="s">
        <v>215</v>
      </c>
      <c r="G22" s="11" t="s">
        <v>216</v>
      </c>
      <c r="H22" s="29">
        <v>45444</v>
      </c>
      <c r="I22" s="29">
        <v>45626</v>
      </c>
      <c r="J22" s="17" t="s">
        <v>217</v>
      </c>
      <c r="K22" s="6" t="s">
        <v>385</v>
      </c>
      <c r="L22" s="20" t="s">
        <v>458</v>
      </c>
      <c r="M22" s="121" t="s">
        <v>531</v>
      </c>
      <c r="N22" s="20" t="s">
        <v>456</v>
      </c>
      <c r="O22" s="20">
        <v>6121.7118479999999</v>
      </c>
      <c r="P22" s="115">
        <v>0</v>
      </c>
      <c r="Q22" s="115">
        <v>0</v>
      </c>
      <c r="R22" s="121" t="s">
        <v>381</v>
      </c>
      <c r="S22" s="115">
        <v>0</v>
      </c>
      <c r="T22" s="115">
        <v>3000</v>
      </c>
      <c r="U22" s="34">
        <v>180</v>
      </c>
      <c r="V22" s="34">
        <v>21</v>
      </c>
      <c r="W22" s="34">
        <v>11</v>
      </c>
      <c r="X22" s="30">
        <v>88</v>
      </c>
      <c r="Y22" s="30">
        <v>98</v>
      </c>
      <c r="Z22" s="34">
        <v>45</v>
      </c>
      <c r="AA22" s="13">
        <f t="shared" si="0"/>
        <v>45</v>
      </c>
      <c r="AB22" s="34">
        <v>1384</v>
      </c>
    </row>
    <row r="23" spans="2:55" ht="69" x14ac:dyDescent="0.3">
      <c r="B23" s="6">
        <f t="shared" si="26"/>
        <v>20</v>
      </c>
      <c r="C23" s="17" t="s">
        <v>527</v>
      </c>
      <c r="D23" s="11" t="s">
        <v>379</v>
      </c>
      <c r="E23" s="11" t="s">
        <v>391</v>
      </c>
      <c r="F23" s="11" t="s">
        <v>218</v>
      </c>
      <c r="G23" s="11" t="s">
        <v>219</v>
      </c>
      <c r="H23" s="29">
        <v>44409</v>
      </c>
      <c r="I23" s="29">
        <v>44560</v>
      </c>
      <c r="J23" s="17" t="s">
        <v>220</v>
      </c>
      <c r="K23" s="6" t="s">
        <v>385</v>
      </c>
      <c r="L23" s="20" t="s">
        <v>458</v>
      </c>
      <c r="M23" s="121" t="s">
        <v>532</v>
      </c>
      <c r="N23" s="20" t="s">
        <v>456</v>
      </c>
      <c r="O23" s="20">
        <v>7329.1170990030005</v>
      </c>
      <c r="P23" s="31">
        <v>0</v>
      </c>
      <c r="Q23" s="31">
        <v>0</v>
      </c>
      <c r="R23" s="46" t="s">
        <v>381</v>
      </c>
      <c r="S23" s="31">
        <v>0</v>
      </c>
      <c r="T23" s="31">
        <v>2000</v>
      </c>
      <c r="U23" s="30">
        <v>240</v>
      </c>
      <c r="V23" s="30">
        <v>20</v>
      </c>
      <c r="W23" s="30">
        <v>19</v>
      </c>
      <c r="X23" s="30">
        <v>150</v>
      </c>
      <c r="Y23" s="30">
        <v>106</v>
      </c>
      <c r="Z23" s="30">
        <v>59</v>
      </c>
      <c r="AA23" s="13">
        <f t="shared" si="0"/>
        <v>59</v>
      </c>
      <c r="AB23" s="30">
        <v>2692</v>
      </c>
    </row>
    <row r="24" spans="2:55" ht="69" x14ac:dyDescent="0.3">
      <c r="B24" s="6">
        <f t="shared" si="26"/>
        <v>21</v>
      </c>
      <c r="C24" s="17" t="s">
        <v>528</v>
      </c>
      <c r="D24" s="11" t="s">
        <v>379</v>
      </c>
      <c r="E24" s="11" t="s">
        <v>391</v>
      </c>
      <c r="F24" s="11" t="s">
        <v>221</v>
      </c>
      <c r="G24" s="11" t="s">
        <v>222</v>
      </c>
      <c r="H24" s="29">
        <v>44287</v>
      </c>
      <c r="I24" s="29">
        <v>44621</v>
      </c>
      <c r="J24" s="17" t="s">
        <v>223</v>
      </c>
      <c r="K24" s="6" t="s">
        <v>385</v>
      </c>
      <c r="L24" s="20" t="s">
        <v>458</v>
      </c>
      <c r="M24" s="121" t="s">
        <v>533</v>
      </c>
      <c r="N24" s="20" t="s">
        <v>456</v>
      </c>
      <c r="O24" s="20">
        <v>6153.2014650000001</v>
      </c>
      <c r="P24" s="31">
        <v>0</v>
      </c>
      <c r="Q24" s="31">
        <v>0</v>
      </c>
      <c r="R24" s="46" t="s">
        <v>381</v>
      </c>
      <c r="S24" s="25">
        <v>0</v>
      </c>
      <c r="T24" s="25">
        <v>2417</v>
      </c>
      <c r="U24" s="30">
        <v>180</v>
      </c>
      <c r="V24" s="30">
        <v>27</v>
      </c>
      <c r="W24" s="30">
        <v>33</v>
      </c>
      <c r="X24" s="30">
        <v>78</v>
      </c>
      <c r="Y24" s="30">
        <v>102</v>
      </c>
      <c r="Z24" s="30">
        <v>74</v>
      </c>
      <c r="AA24" s="13">
        <f t="shared" si="0"/>
        <v>74</v>
      </c>
      <c r="AB24" s="30">
        <v>1568</v>
      </c>
    </row>
    <row r="25" spans="2:55" ht="69" x14ac:dyDescent="0.3">
      <c r="B25" s="6">
        <f t="shared" si="26"/>
        <v>22</v>
      </c>
      <c r="C25" s="17" t="s">
        <v>534</v>
      </c>
      <c r="D25" s="11" t="s">
        <v>379</v>
      </c>
      <c r="E25" s="11" t="s">
        <v>391</v>
      </c>
      <c r="F25" s="11" t="s">
        <v>224</v>
      </c>
      <c r="G25" s="11" t="s">
        <v>225</v>
      </c>
      <c r="H25" s="29">
        <v>44391</v>
      </c>
      <c r="I25" s="29">
        <v>44545</v>
      </c>
      <c r="J25" s="17" t="s">
        <v>226</v>
      </c>
      <c r="K25" s="6" t="s">
        <v>385</v>
      </c>
      <c r="L25" s="20" t="s">
        <v>458</v>
      </c>
      <c r="M25" s="121" t="s">
        <v>535</v>
      </c>
      <c r="N25" s="20" t="s">
        <v>457</v>
      </c>
      <c r="O25" s="20">
        <v>6229.3360069999999</v>
      </c>
      <c r="P25" s="60">
        <v>0</v>
      </c>
      <c r="Q25" s="60">
        <v>0</v>
      </c>
      <c r="R25" s="46" t="s">
        <v>381</v>
      </c>
      <c r="S25" s="60">
        <v>0</v>
      </c>
      <c r="T25" s="60">
        <v>3600</v>
      </c>
      <c r="U25" s="28">
        <v>180</v>
      </c>
      <c r="V25" s="28">
        <v>13</v>
      </c>
      <c r="W25" s="28">
        <v>20</v>
      </c>
      <c r="X25" s="28">
        <v>118</v>
      </c>
      <c r="Y25" s="28">
        <v>112</v>
      </c>
      <c r="Z25" s="28">
        <v>117</v>
      </c>
      <c r="AA25" s="13">
        <f t="shared" si="0"/>
        <v>117</v>
      </c>
      <c r="AB25" s="30">
        <v>4589</v>
      </c>
    </row>
    <row r="26" spans="2:55" ht="69" x14ac:dyDescent="0.3">
      <c r="B26" s="6">
        <f t="shared" si="26"/>
        <v>23</v>
      </c>
      <c r="C26" s="17" t="s">
        <v>529</v>
      </c>
      <c r="D26" s="11" t="s">
        <v>379</v>
      </c>
      <c r="E26" s="11" t="s">
        <v>391</v>
      </c>
      <c r="F26" s="11" t="s">
        <v>227</v>
      </c>
      <c r="G26" s="11" t="s">
        <v>228</v>
      </c>
      <c r="H26" s="29">
        <v>44385</v>
      </c>
      <c r="I26" s="29">
        <v>44535</v>
      </c>
      <c r="J26" s="17" t="s">
        <v>214</v>
      </c>
      <c r="K26" s="6" t="s">
        <v>385</v>
      </c>
      <c r="L26" s="20" t="s">
        <v>458</v>
      </c>
      <c r="M26" s="121" t="s">
        <v>536</v>
      </c>
      <c r="N26" s="20" t="s">
        <v>457</v>
      </c>
      <c r="O26" s="20">
        <v>6183.1033770000004</v>
      </c>
      <c r="P26" s="60">
        <v>0</v>
      </c>
      <c r="Q26" s="60">
        <v>0</v>
      </c>
      <c r="R26" s="46" t="s">
        <v>381</v>
      </c>
      <c r="S26" s="60">
        <v>0</v>
      </c>
      <c r="T26" s="60">
        <v>3500</v>
      </c>
      <c r="U26" s="28">
        <v>150</v>
      </c>
      <c r="V26" s="28">
        <v>32</v>
      </c>
      <c r="W26" s="28">
        <v>15</v>
      </c>
      <c r="X26" s="28">
        <v>89</v>
      </c>
      <c r="Y26" s="28">
        <v>86</v>
      </c>
      <c r="Z26" s="28">
        <v>41</v>
      </c>
      <c r="AA26" s="13">
        <f t="shared" si="0"/>
        <v>41</v>
      </c>
      <c r="AB26" s="30">
        <v>4122</v>
      </c>
    </row>
    <row r="27" spans="2:55" s="16" customFormat="1" ht="69" x14ac:dyDescent="0.3">
      <c r="B27" s="6">
        <f t="shared" si="26"/>
        <v>24</v>
      </c>
      <c r="C27" s="17" t="s">
        <v>530</v>
      </c>
      <c r="D27" s="11" t="s">
        <v>379</v>
      </c>
      <c r="E27" s="11" t="s">
        <v>391</v>
      </c>
      <c r="F27" s="6" t="s">
        <v>229</v>
      </c>
      <c r="G27" s="6" t="s">
        <v>230</v>
      </c>
      <c r="H27" s="10" t="s">
        <v>231</v>
      </c>
      <c r="I27" s="10" t="s">
        <v>232</v>
      </c>
      <c r="J27" s="17" t="s">
        <v>233</v>
      </c>
      <c r="K27" s="6" t="s">
        <v>384</v>
      </c>
      <c r="L27" s="20" t="s">
        <v>458</v>
      </c>
      <c r="M27" s="121" t="s">
        <v>537</v>
      </c>
      <c r="N27" s="20" t="s">
        <v>456</v>
      </c>
      <c r="O27" s="20">
        <v>6115.0147539999989</v>
      </c>
      <c r="P27" s="25">
        <v>0</v>
      </c>
      <c r="Q27" s="25">
        <v>0</v>
      </c>
      <c r="R27" s="121" t="s">
        <v>381</v>
      </c>
      <c r="S27" s="25">
        <v>0</v>
      </c>
      <c r="T27" s="25">
        <v>2680</v>
      </c>
      <c r="U27" s="20">
        <v>180</v>
      </c>
      <c r="V27" s="20">
        <v>14</v>
      </c>
      <c r="W27" s="20">
        <v>16</v>
      </c>
      <c r="X27" s="20">
        <v>112</v>
      </c>
      <c r="Y27" s="20">
        <v>98</v>
      </c>
      <c r="Z27" s="20">
        <v>63</v>
      </c>
      <c r="AA27" s="13">
        <f t="shared" si="0"/>
        <v>63</v>
      </c>
      <c r="AB27" s="20">
        <v>3150</v>
      </c>
    </row>
    <row r="28" spans="2:55" ht="55.2" x14ac:dyDescent="0.3">
      <c r="B28" s="6">
        <f t="shared" si="26"/>
        <v>25</v>
      </c>
      <c r="C28" s="8" t="s">
        <v>538</v>
      </c>
      <c r="D28" s="11" t="s">
        <v>379</v>
      </c>
      <c r="E28" s="11" t="s">
        <v>389</v>
      </c>
      <c r="F28" s="8" t="s">
        <v>251</v>
      </c>
      <c r="G28" s="6" t="s">
        <v>252</v>
      </c>
      <c r="H28" s="29">
        <v>44287</v>
      </c>
      <c r="I28" s="29">
        <v>44454</v>
      </c>
      <c r="J28" s="11" t="s">
        <v>253</v>
      </c>
      <c r="K28" s="6" t="s">
        <v>385</v>
      </c>
      <c r="L28" s="20" t="s">
        <v>455</v>
      </c>
      <c r="M28" s="121" t="s">
        <v>498</v>
      </c>
      <c r="N28" s="20" t="s">
        <v>456</v>
      </c>
      <c r="O28" s="20">
        <v>4198.5062189999999</v>
      </c>
      <c r="P28" s="20">
        <v>55</v>
      </c>
      <c r="Q28" s="13">
        <v>35</v>
      </c>
      <c r="R28" s="121" t="s">
        <v>383</v>
      </c>
      <c r="S28" s="14">
        <v>530</v>
      </c>
      <c r="T28" s="14">
        <v>1234</v>
      </c>
      <c r="U28" s="13">
        <v>95</v>
      </c>
      <c r="V28" s="13">
        <v>5</v>
      </c>
      <c r="W28" s="13">
        <v>2</v>
      </c>
      <c r="X28" s="13">
        <v>80</v>
      </c>
      <c r="Y28" s="13">
        <v>70</v>
      </c>
      <c r="Z28" s="13">
        <v>60</v>
      </c>
      <c r="AA28" s="13">
        <f t="shared" si="0"/>
        <v>60</v>
      </c>
      <c r="AB28" s="20">
        <v>6098</v>
      </c>
    </row>
    <row r="29" spans="2:55" ht="55.2" x14ac:dyDescent="0.3">
      <c r="B29" s="6">
        <f t="shared" si="26"/>
        <v>26</v>
      </c>
      <c r="C29" s="8" t="s">
        <v>539</v>
      </c>
      <c r="D29" s="11" t="s">
        <v>379</v>
      </c>
      <c r="E29" s="11" t="s">
        <v>389</v>
      </c>
      <c r="F29" s="8" t="s">
        <v>251</v>
      </c>
      <c r="G29" s="6" t="s">
        <v>252</v>
      </c>
      <c r="H29" s="29">
        <v>44280</v>
      </c>
      <c r="I29" s="29">
        <v>44460</v>
      </c>
      <c r="J29" s="11" t="s">
        <v>254</v>
      </c>
      <c r="K29" s="6" t="s">
        <v>385</v>
      </c>
      <c r="L29" s="20" t="s">
        <v>455</v>
      </c>
      <c r="M29" s="121" t="s">
        <v>499</v>
      </c>
      <c r="N29" s="20" t="s">
        <v>456</v>
      </c>
      <c r="O29" s="20">
        <v>4471.6312382999995</v>
      </c>
      <c r="P29" s="20">
        <v>180</v>
      </c>
      <c r="Q29" s="13">
        <v>62</v>
      </c>
      <c r="R29" s="121" t="s">
        <v>383</v>
      </c>
      <c r="S29" s="14">
        <v>800</v>
      </c>
      <c r="T29" s="14">
        <v>1220</v>
      </c>
      <c r="U29" s="13">
        <v>0</v>
      </c>
      <c r="V29" s="13">
        <v>6</v>
      </c>
      <c r="W29" s="13">
        <v>1</v>
      </c>
      <c r="X29" s="13">
        <v>82</v>
      </c>
      <c r="Y29" s="13">
        <v>98</v>
      </c>
      <c r="Z29" s="13">
        <v>150</v>
      </c>
      <c r="AA29" s="13">
        <f t="shared" si="0"/>
        <v>150</v>
      </c>
      <c r="AB29" s="20">
        <v>3140</v>
      </c>
    </row>
    <row r="30" spans="2:55" ht="69" x14ac:dyDescent="0.3">
      <c r="B30" s="6">
        <f t="shared" si="26"/>
        <v>27</v>
      </c>
      <c r="C30" s="88" t="s">
        <v>540</v>
      </c>
      <c r="D30" s="11" t="s">
        <v>379</v>
      </c>
      <c r="E30" s="11" t="s">
        <v>398</v>
      </c>
      <c r="F30" s="82" t="s">
        <v>278</v>
      </c>
      <c r="G30" s="82" t="s">
        <v>279</v>
      </c>
      <c r="H30" s="10">
        <v>44193</v>
      </c>
      <c r="I30" s="10">
        <v>44561</v>
      </c>
      <c r="J30" s="11" t="s">
        <v>280</v>
      </c>
      <c r="K30" s="6" t="s">
        <v>385</v>
      </c>
      <c r="L30" s="20" t="s">
        <v>458</v>
      </c>
      <c r="M30" s="121" t="s">
        <v>541</v>
      </c>
      <c r="N30" s="20" t="s">
        <v>456</v>
      </c>
      <c r="O30" s="20">
        <v>7267.6380929999996</v>
      </c>
      <c r="P30" s="34">
        <v>0</v>
      </c>
      <c r="Q30" s="34">
        <v>0</v>
      </c>
      <c r="R30" s="121" t="s">
        <v>381</v>
      </c>
      <c r="S30" s="115">
        <v>0</v>
      </c>
      <c r="T30" s="115">
        <v>1460</v>
      </c>
      <c r="U30" s="34">
        <v>180</v>
      </c>
      <c r="V30" s="34">
        <v>24</v>
      </c>
      <c r="W30" s="34">
        <v>9</v>
      </c>
      <c r="X30" s="85">
        <v>88</v>
      </c>
      <c r="Y30" s="85">
        <v>71</v>
      </c>
      <c r="Z30" s="86">
        <v>74</v>
      </c>
      <c r="AA30" s="13">
        <f t="shared" si="0"/>
        <v>74</v>
      </c>
      <c r="AB30" s="86">
        <v>3170</v>
      </c>
      <c r="AD30" s="128"/>
    </row>
    <row r="31" spans="2:55" ht="55.2" x14ac:dyDescent="0.3">
      <c r="B31" s="6">
        <f t="shared" si="26"/>
        <v>28</v>
      </c>
      <c r="C31" s="89" t="s">
        <v>542</v>
      </c>
      <c r="D31" s="11" t="s">
        <v>379</v>
      </c>
      <c r="E31" s="11" t="s">
        <v>398</v>
      </c>
      <c r="F31" s="11" t="s">
        <v>281</v>
      </c>
      <c r="G31" s="87">
        <v>998916935995</v>
      </c>
      <c r="H31" s="10">
        <v>44193</v>
      </c>
      <c r="I31" s="10">
        <v>44561</v>
      </c>
      <c r="J31" s="11" t="s">
        <v>282</v>
      </c>
      <c r="K31" s="6" t="s">
        <v>385</v>
      </c>
      <c r="L31" s="20" t="s">
        <v>455</v>
      </c>
      <c r="M31" s="121" t="s">
        <v>543</v>
      </c>
      <c r="N31" s="20" t="s">
        <v>457</v>
      </c>
      <c r="O31" s="20">
        <v>6433.7050740000004</v>
      </c>
      <c r="P31" s="34">
        <v>280</v>
      </c>
      <c r="Q31" s="20">
        <v>57</v>
      </c>
      <c r="R31" s="121" t="s">
        <v>383</v>
      </c>
      <c r="S31" s="25">
        <v>1743.63</v>
      </c>
      <c r="T31" s="25">
        <v>2453.36</v>
      </c>
      <c r="U31" s="34">
        <v>80</v>
      </c>
      <c r="V31" s="20">
        <v>8</v>
      </c>
      <c r="W31" s="20">
        <v>2</v>
      </c>
      <c r="X31" s="41">
        <v>180</v>
      </c>
      <c r="Y31" s="41">
        <v>171</v>
      </c>
      <c r="Z31" s="41">
        <v>206</v>
      </c>
      <c r="AA31" s="13">
        <f t="shared" si="0"/>
        <v>206</v>
      </c>
      <c r="AB31" s="41">
        <v>6241</v>
      </c>
    </row>
    <row r="32" spans="2:55" ht="55.2" x14ac:dyDescent="0.3">
      <c r="B32" s="6">
        <f t="shared" si="26"/>
        <v>29</v>
      </c>
      <c r="C32" s="89" t="s">
        <v>544</v>
      </c>
      <c r="D32" s="11" t="s">
        <v>379</v>
      </c>
      <c r="E32" s="11" t="s">
        <v>398</v>
      </c>
      <c r="F32" s="6" t="s">
        <v>283</v>
      </c>
      <c r="G32" s="6" t="s">
        <v>284</v>
      </c>
      <c r="H32" s="10">
        <v>44193</v>
      </c>
      <c r="I32" s="10">
        <v>44561</v>
      </c>
      <c r="J32" s="11" t="s">
        <v>285</v>
      </c>
      <c r="K32" s="6" t="s">
        <v>385</v>
      </c>
      <c r="L32" s="20" t="s">
        <v>455</v>
      </c>
      <c r="M32" s="121" t="s">
        <v>545</v>
      </c>
      <c r="N32" s="20" t="s">
        <v>457</v>
      </c>
      <c r="O32" s="20">
        <v>7073.8622059999998</v>
      </c>
      <c r="P32" s="41">
        <v>360</v>
      </c>
      <c r="Q32" s="30">
        <v>61</v>
      </c>
      <c r="R32" s="46" t="s">
        <v>383</v>
      </c>
      <c r="S32" s="51">
        <v>1633.27</v>
      </c>
      <c r="T32" s="51">
        <v>2177.77</v>
      </c>
      <c r="U32" s="41">
        <v>0</v>
      </c>
      <c r="V32" s="41">
        <v>0</v>
      </c>
      <c r="W32" s="41">
        <v>1</v>
      </c>
      <c r="X32" s="41">
        <v>182</v>
      </c>
      <c r="Y32" s="41">
        <v>177</v>
      </c>
      <c r="Z32" s="41">
        <v>300</v>
      </c>
      <c r="AA32" s="13">
        <f t="shared" si="0"/>
        <v>300</v>
      </c>
      <c r="AB32" s="41">
        <v>3898</v>
      </c>
    </row>
    <row r="33" spans="2:28" ht="69" x14ac:dyDescent="0.3">
      <c r="B33" s="6">
        <f t="shared" si="26"/>
        <v>30</v>
      </c>
      <c r="C33" s="63" t="s">
        <v>546</v>
      </c>
      <c r="D33" s="11" t="s">
        <v>379</v>
      </c>
      <c r="E33" s="11" t="s">
        <v>397</v>
      </c>
      <c r="F33" s="50" t="s">
        <v>322</v>
      </c>
      <c r="G33" s="50" t="s">
        <v>319</v>
      </c>
      <c r="H33" s="97">
        <v>44193</v>
      </c>
      <c r="I33" s="97">
        <v>44561</v>
      </c>
      <c r="J33" s="50" t="s">
        <v>320</v>
      </c>
      <c r="K33" s="6" t="s">
        <v>385</v>
      </c>
      <c r="L33" s="20" t="s">
        <v>455</v>
      </c>
      <c r="M33" s="121" t="s">
        <v>547</v>
      </c>
      <c r="N33" s="20" t="s">
        <v>457</v>
      </c>
      <c r="O33" s="20">
        <v>7284.8358010000002</v>
      </c>
      <c r="P33" s="134">
        <v>360</v>
      </c>
      <c r="Q33" s="134">
        <f>48+17</f>
        <v>65</v>
      </c>
      <c r="R33" s="46" t="s">
        <v>382</v>
      </c>
      <c r="S33" s="80">
        <v>1399.73</v>
      </c>
      <c r="T33" s="80">
        <v>1399.73</v>
      </c>
      <c r="U33" s="134">
        <v>0</v>
      </c>
      <c r="V33" s="134">
        <v>0</v>
      </c>
      <c r="W33" s="134">
        <v>0</v>
      </c>
      <c r="X33" s="81">
        <v>132</v>
      </c>
      <c r="Y33" s="81">
        <v>119</v>
      </c>
      <c r="Z33" s="81">
        <v>43</v>
      </c>
      <c r="AA33" s="13">
        <f t="shared" si="0"/>
        <v>43</v>
      </c>
      <c r="AB33" s="81">
        <v>3700</v>
      </c>
    </row>
    <row r="34" spans="2:28" ht="55.2" x14ac:dyDescent="0.3">
      <c r="B34" s="6">
        <f t="shared" si="26"/>
        <v>31</v>
      </c>
      <c r="C34" s="63" t="s">
        <v>548</v>
      </c>
      <c r="D34" s="11" t="s">
        <v>379</v>
      </c>
      <c r="E34" s="11" t="s">
        <v>397</v>
      </c>
      <c r="F34" s="93" t="s">
        <v>318</v>
      </c>
      <c r="G34" s="50" t="s">
        <v>314</v>
      </c>
      <c r="H34" s="97">
        <v>44193</v>
      </c>
      <c r="I34" s="97">
        <v>44561</v>
      </c>
      <c r="J34" s="50" t="s">
        <v>321</v>
      </c>
      <c r="K34" s="6" t="s">
        <v>385</v>
      </c>
      <c r="L34" s="20" t="s">
        <v>455</v>
      </c>
      <c r="M34" s="121" t="s">
        <v>500</v>
      </c>
      <c r="N34" s="20" t="s">
        <v>456</v>
      </c>
      <c r="O34" s="20">
        <v>7324.4306999999999</v>
      </c>
      <c r="P34" s="134">
        <v>240</v>
      </c>
      <c r="Q34" s="134">
        <v>40</v>
      </c>
      <c r="R34" s="121" t="s">
        <v>382</v>
      </c>
      <c r="S34" s="135">
        <v>1160</v>
      </c>
      <c r="T34" s="135">
        <v>1160</v>
      </c>
      <c r="U34" s="134">
        <v>120</v>
      </c>
      <c r="V34" s="134">
        <v>15</v>
      </c>
      <c r="W34" s="134">
        <v>5</v>
      </c>
      <c r="X34" s="134">
        <v>180</v>
      </c>
      <c r="Y34" s="134">
        <v>176</v>
      </c>
      <c r="Z34" s="134">
        <v>300</v>
      </c>
      <c r="AA34" s="13">
        <f t="shared" si="0"/>
        <v>300</v>
      </c>
      <c r="AB34" s="134">
        <v>2153</v>
      </c>
    </row>
    <row r="35" spans="2:28" ht="55.2" x14ac:dyDescent="0.3">
      <c r="B35" s="6">
        <f t="shared" si="26"/>
        <v>32</v>
      </c>
      <c r="C35" s="17" t="s">
        <v>549</v>
      </c>
      <c r="D35" s="11" t="s">
        <v>379</v>
      </c>
      <c r="E35" s="11" t="s">
        <v>393</v>
      </c>
      <c r="F35" s="11" t="s">
        <v>340</v>
      </c>
      <c r="G35" s="35" t="s">
        <v>341</v>
      </c>
      <c r="H35" s="29">
        <v>44193</v>
      </c>
      <c r="I35" s="29">
        <v>44561</v>
      </c>
      <c r="J35" s="11" t="s">
        <v>342</v>
      </c>
      <c r="K35" s="6" t="s">
        <v>385</v>
      </c>
      <c r="L35" s="20" t="s">
        <v>455</v>
      </c>
      <c r="M35" s="121" t="s">
        <v>550</v>
      </c>
      <c r="N35" s="20" t="s">
        <v>456</v>
      </c>
      <c r="O35" s="20">
        <v>3879.3028765165436</v>
      </c>
      <c r="P35" s="34">
        <v>140</v>
      </c>
      <c r="Q35" s="34">
        <v>25</v>
      </c>
      <c r="R35" s="121" t="s">
        <v>383</v>
      </c>
      <c r="S35" s="115">
        <v>1135</v>
      </c>
      <c r="T35" s="115">
        <f>1135+154</f>
        <v>1289</v>
      </c>
      <c r="U35" s="34">
        <v>40</v>
      </c>
      <c r="V35" s="34">
        <v>4</v>
      </c>
      <c r="W35" s="34">
        <v>2</v>
      </c>
      <c r="X35" s="34">
        <v>45</v>
      </c>
      <c r="Y35" s="34">
        <v>45</v>
      </c>
      <c r="Z35" s="30">
        <f>25+25</f>
        <v>50</v>
      </c>
      <c r="AA35" s="13">
        <f t="shared" si="0"/>
        <v>50</v>
      </c>
      <c r="AB35" s="30">
        <v>1224</v>
      </c>
    </row>
    <row r="36" spans="2:28" ht="69" x14ac:dyDescent="0.3">
      <c r="B36" s="6">
        <f t="shared" si="26"/>
        <v>33</v>
      </c>
      <c r="C36" s="17" t="s">
        <v>551</v>
      </c>
      <c r="D36" s="11" t="s">
        <v>379</v>
      </c>
      <c r="E36" s="11" t="s">
        <v>394</v>
      </c>
      <c r="F36" s="11" t="s">
        <v>409</v>
      </c>
      <c r="G36" s="35" t="s">
        <v>410</v>
      </c>
      <c r="H36" s="29">
        <v>44340</v>
      </c>
      <c r="I36" s="29">
        <v>44585</v>
      </c>
      <c r="J36" s="17" t="s">
        <v>412</v>
      </c>
      <c r="K36" s="6" t="s">
        <v>385</v>
      </c>
      <c r="L36" s="20" t="s">
        <v>458</v>
      </c>
      <c r="M36" s="121" t="s">
        <v>552</v>
      </c>
      <c r="N36" s="20" t="s">
        <v>456</v>
      </c>
      <c r="O36" s="20">
        <v>4991.031907999999</v>
      </c>
      <c r="P36" s="30">
        <v>0</v>
      </c>
      <c r="Q36" s="30">
        <v>0</v>
      </c>
      <c r="R36" s="46" t="s">
        <v>381</v>
      </c>
      <c r="S36" s="31">
        <v>0</v>
      </c>
      <c r="T36" s="31">
        <v>6000</v>
      </c>
      <c r="U36" s="30">
        <v>150</v>
      </c>
      <c r="V36" s="30">
        <v>22</v>
      </c>
      <c r="W36" s="30">
        <v>8</v>
      </c>
      <c r="X36" s="30">
        <v>62</v>
      </c>
      <c r="Y36" s="30">
        <v>74</v>
      </c>
      <c r="Z36" s="30">
        <v>150</v>
      </c>
      <c r="AA36" s="13">
        <f t="shared" si="0"/>
        <v>150</v>
      </c>
      <c r="AB36" s="30">
        <v>5354</v>
      </c>
    </row>
    <row r="37" spans="2:28" ht="69" x14ac:dyDescent="0.3">
      <c r="B37" s="6">
        <f t="shared" si="26"/>
        <v>34</v>
      </c>
      <c r="C37" s="17" t="s">
        <v>553</v>
      </c>
      <c r="D37" s="11" t="s">
        <v>379</v>
      </c>
      <c r="E37" s="11" t="s">
        <v>394</v>
      </c>
      <c r="F37" s="11" t="s">
        <v>409</v>
      </c>
      <c r="G37" s="35" t="s">
        <v>410</v>
      </c>
      <c r="H37" s="29">
        <v>44197</v>
      </c>
      <c r="I37" s="29">
        <v>44440</v>
      </c>
      <c r="J37" s="17" t="s">
        <v>413</v>
      </c>
      <c r="K37" s="6" t="s">
        <v>385</v>
      </c>
      <c r="L37" s="20" t="s">
        <v>455</v>
      </c>
      <c r="M37" s="121" t="s">
        <v>554</v>
      </c>
      <c r="N37" s="20" t="s">
        <v>456</v>
      </c>
      <c r="O37" s="20">
        <v>5409.4605190000002</v>
      </c>
      <c r="P37" s="30">
        <v>140</v>
      </c>
      <c r="Q37" s="30">
        <v>26.34</v>
      </c>
      <c r="R37" s="46" t="s">
        <v>383</v>
      </c>
      <c r="S37" s="119">
        <v>923.72</v>
      </c>
      <c r="T37" s="119">
        <v>1365.77</v>
      </c>
      <c r="U37" s="30">
        <v>40</v>
      </c>
      <c r="V37" s="30">
        <v>3</v>
      </c>
      <c r="W37" s="30">
        <v>5</v>
      </c>
      <c r="X37" s="30">
        <v>98</v>
      </c>
      <c r="Y37" s="30">
        <v>112</v>
      </c>
      <c r="Z37" s="30">
        <v>105</v>
      </c>
      <c r="AA37" s="13">
        <f t="shared" si="0"/>
        <v>105</v>
      </c>
      <c r="AB37" s="30">
        <v>4450</v>
      </c>
    </row>
    <row r="38" spans="2:28" ht="55.2" x14ac:dyDescent="0.3">
      <c r="B38" s="6">
        <f t="shared" si="26"/>
        <v>35</v>
      </c>
      <c r="C38" s="17" t="s">
        <v>668</v>
      </c>
      <c r="D38" s="11" t="s">
        <v>379</v>
      </c>
      <c r="E38" s="11" t="s">
        <v>395</v>
      </c>
      <c r="F38" s="11" t="s">
        <v>665</v>
      </c>
      <c r="G38" s="35" t="s">
        <v>666</v>
      </c>
      <c r="H38" s="29">
        <v>44193</v>
      </c>
      <c r="I38" s="29">
        <v>44561</v>
      </c>
      <c r="J38" s="17" t="s">
        <v>667</v>
      </c>
      <c r="K38" s="6" t="s">
        <v>385</v>
      </c>
      <c r="L38" s="20" t="s">
        <v>455</v>
      </c>
      <c r="M38" s="121" t="s">
        <v>669</v>
      </c>
      <c r="N38" s="20" t="s">
        <v>457</v>
      </c>
      <c r="O38" s="20">
        <v>6185.4480046800072</v>
      </c>
      <c r="P38" s="30">
        <v>360</v>
      </c>
      <c r="Q38" s="30">
        <v>49</v>
      </c>
      <c r="R38" s="46" t="s">
        <v>382</v>
      </c>
      <c r="S38" s="119">
        <v>3817</v>
      </c>
      <c r="T38" s="119">
        <v>3817</v>
      </c>
      <c r="U38" s="30">
        <v>0</v>
      </c>
      <c r="V38" s="30">
        <v>10</v>
      </c>
      <c r="W38" s="30">
        <v>15</v>
      </c>
      <c r="X38" s="30">
        <v>158</v>
      </c>
      <c r="Y38" s="30">
        <v>171</v>
      </c>
      <c r="Z38" s="30">
        <v>160</v>
      </c>
      <c r="AA38" s="13">
        <f t="shared" si="0"/>
        <v>160</v>
      </c>
      <c r="AB38" s="30">
        <v>5120</v>
      </c>
    </row>
    <row r="39" spans="2:28" x14ac:dyDescent="0.3">
      <c r="O39" s="170">
        <f>+SUM(O4:O38)</f>
        <v>191069.24995634306</v>
      </c>
      <c r="P39" s="170">
        <f>+SUM(P4:P38)</f>
        <v>4204</v>
      </c>
      <c r="Q39" s="170">
        <f>+SUM(Q4:Q38)</f>
        <v>880.34</v>
      </c>
      <c r="S39" s="170">
        <f t="shared" ref="S39:AB39" si="29">+SUM(S4:S38)</f>
        <v>32801.430000000008</v>
      </c>
      <c r="T39" s="170">
        <f t="shared" si="29"/>
        <v>75279.790000000008</v>
      </c>
      <c r="U39" s="170">
        <f t="shared" si="29"/>
        <v>4240</v>
      </c>
      <c r="V39" s="170">
        <f t="shared" si="29"/>
        <v>484</v>
      </c>
      <c r="W39" s="170">
        <f t="shared" si="29"/>
        <v>328</v>
      </c>
      <c r="X39" s="170">
        <f t="shared" si="29"/>
        <v>4154.2</v>
      </c>
      <c r="Y39" s="170">
        <f t="shared" si="29"/>
        <v>3471.09</v>
      </c>
      <c r="Z39" s="170">
        <f t="shared" si="29"/>
        <v>4035</v>
      </c>
      <c r="AA39" s="170">
        <f t="shared" si="29"/>
        <v>4035</v>
      </c>
      <c r="AB39" s="170">
        <f t="shared" si="29"/>
        <v>133634</v>
      </c>
    </row>
  </sheetData>
  <autoFilter ref="B2:AB39" xr:uid="{00000000-0001-0000-0100-000000000000}">
    <filterColumn colId="14" showButton="0"/>
    <filterColumn colId="17" showButton="0"/>
    <filterColumn colId="20" showButton="0"/>
    <filterColumn colId="22" showButton="0"/>
  </autoFilter>
  <mergeCells count="31">
    <mergeCell ref="N2:N3"/>
    <mergeCell ref="AB2:AB3"/>
    <mergeCell ref="U2:U3"/>
    <mergeCell ref="S2:T2"/>
    <mergeCell ref="V2:W2"/>
    <mergeCell ref="X2:Y2"/>
    <mergeCell ref="Z2:Z3"/>
    <mergeCell ref="P2:P3"/>
    <mergeCell ref="Q2:Q3"/>
    <mergeCell ref="R2:R3"/>
    <mergeCell ref="O2:O3"/>
    <mergeCell ref="AA2:AA3"/>
    <mergeCell ref="B2:B3"/>
    <mergeCell ref="D2:D3"/>
    <mergeCell ref="E2:E3"/>
    <mergeCell ref="F2:F3"/>
    <mergeCell ref="C2:C3"/>
    <mergeCell ref="L2:L3"/>
    <mergeCell ref="M2:M3"/>
    <mergeCell ref="G2:G3"/>
    <mergeCell ref="H2:H3"/>
    <mergeCell ref="I2:I3"/>
    <mergeCell ref="J2:J3"/>
    <mergeCell ref="K2:K3"/>
    <mergeCell ref="BB2:BB3"/>
    <mergeCell ref="BC2:BC3"/>
    <mergeCell ref="AD2:AD3"/>
    <mergeCell ref="AE2:AN2"/>
    <mergeCell ref="AO2:AS2"/>
    <mergeCell ref="AT2:AY2"/>
    <mergeCell ref="AZ2:BA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'1'!$B$17:$B$30</xm:f>
          </x14:formula1>
          <xm:sqref>E4:E38</xm:sqref>
        </x14:dataValidation>
        <x14:dataValidation type="list" allowBlank="1" showInputMessage="1" showErrorMessage="1" xr:uid="{00000000-0002-0000-0100-000001000000}">
          <x14:formula1>
            <xm:f>'1'!$B$11:$B$15</xm:f>
          </x14:formula1>
          <xm:sqref>D4:D38</xm:sqref>
        </x14:dataValidation>
        <x14:dataValidation type="list" allowBlank="1" showInputMessage="1" showErrorMessage="1" xr:uid="{00000000-0002-0000-0100-000002000000}">
          <x14:formula1>
            <xm:f>'1'!$B$7:$B$9</xm:f>
          </x14:formula1>
          <xm:sqref>R4:R38</xm:sqref>
        </x14:dataValidation>
        <x14:dataValidation type="list" allowBlank="1" showInputMessage="1" showErrorMessage="1" xr:uid="{00000000-0002-0000-0100-000003000000}">
          <x14:formula1>
            <xm:f>'1'!$B$3:$B$4</xm:f>
          </x14:formula1>
          <xm:sqref>K4:K38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57"/>
  <sheetViews>
    <sheetView showGridLines="0" topLeftCell="N26" zoomScale="81" zoomScaleNormal="44" workbookViewId="0">
      <selection activeCell="T30" sqref="T30"/>
    </sheetView>
  </sheetViews>
  <sheetFormatPr defaultColWidth="8.77734375" defaultRowHeight="13.8" x14ac:dyDescent="0.3"/>
  <cols>
    <col min="1" max="2" width="8.77734375" style="3"/>
    <col min="3" max="4" width="47" style="3" customWidth="1"/>
    <col min="5" max="5" width="18.33203125" style="3" bestFit="1" customWidth="1"/>
    <col min="6" max="6" width="23.44140625" style="3" customWidth="1"/>
    <col min="7" max="8" width="21" style="3" hidden="1" customWidth="1"/>
    <col min="9" max="9" width="20.44140625" style="3" customWidth="1"/>
    <col min="10" max="10" width="15.44140625" style="3" customWidth="1"/>
    <col min="11" max="11" width="18.6640625" style="110" hidden="1" customWidth="1"/>
    <col min="12" max="12" width="18" style="3" customWidth="1"/>
    <col min="13" max="13" width="18" style="27" customWidth="1"/>
    <col min="14" max="14" width="26.6640625" style="4" customWidth="1"/>
    <col min="15" max="15" width="47.77734375" style="3" customWidth="1"/>
    <col min="16" max="17" width="18" style="27" customWidth="1"/>
    <col min="18" max="20" width="15.33203125" style="5" customWidth="1"/>
    <col min="21" max="21" width="26.44140625" style="3" customWidth="1"/>
    <col min="22" max="23" width="16.44140625" style="39" customWidth="1"/>
    <col min="24" max="24" width="18.33203125" style="44" customWidth="1"/>
    <col min="25" max="25" width="17" style="44" customWidth="1"/>
    <col min="26" max="26" width="20.6640625" style="5" customWidth="1"/>
    <col min="27" max="27" width="18.77734375" style="5" customWidth="1"/>
    <col min="28" max="28" width="28.44140625" style="5" customWidth="1"/>
    <col min="29" max="30" width="28" style="5" customWidth="1"/>
    <col min="31" max="31" width="31.44140625" style="3" customWidth="1"/>
    <col min="32" max="32" width="18.77734375" style="3" customWidth="1"/>
    <col min="33" max="33" width="14.109375" style="52" customWidth="1"/>
    <col min="34" max="34" width="7.44140625" style="225" customWidth="1"/>
    <col min="35" max="35" width="13.77734375" style="52" customWidth="1"/>
    <col min="36" max="36" width="7.44140625" style="225" customWidth="1"/>
    <col min="37" max="37" width="15.109375" style="52" customWidth="1"/>
    <col min="38" max="38" width="7.44140625" style="225" customWidth="1"/>
    <col min="39" max="39" width="15.77734375" style="52" customWidth="1"/>
    <col min="40" max="40" width="7.44140625" style="225" customWidth="1"/>
    <col min="41" max="41" width="15.44140625" style="52" customWidth="1"/>
    <col min="42" max="42" width="7.44140625" style="225" customWidth="1"/>
    <col min="43" max="43" width="15.77734375" style="5" customWidth="1"/>
    <col min="44" max="44" width="13.33203125" style="5" customWidth="1"/>
    <col min="45" max="45" width="14.44140625" style="5" customWidth="1"/>
    <col min="46" max="46" width="14.109375" style="5" customWidth="1"/>
    <col min="47" max="47" width="10.109375" style="5" bestFit="1" customWidth="1"/>
    <col min="48" max="48" width="14.44140625" style="5" customWidth="1"/>
    <col min="49" max="49" width="17.44140625" style="5" customWidth="1"/>
    <col min="50" max="50" width="15.109375" style="5" customWidth="1"/>
    <col min="51" max="51" width="17.109375" style="5" customWidth="1"/>
    <col min="52" max="52" width="10.77734375" style="5" customWidth="1"/>
    <col min="53" max="53" width="12.6640625" style="5" customWidth="1"/>
    <col min="54" max="55" width="12.44140625" style="5" bestFit="1" customWidth="1"/>
    <col min="56" max="56" width="17.77734375" style="5" customWidth="1"/>
    <col min="57" max="57" width="18.44140625" style="5" customWidth="1"/>
    <col min="58" max="16384" width="8.77734375" style="3"/>
  </cols>
  <sheetData>
    <row r="1" spans="2:58" ht="14.4" x14ac:dyDescent="0.3">
      <c r="B1" s="2" t="s">
        <v>683</v>
      </c>
      <c r="L1" s="16"/>
      <c r="M1" s="136"/>
      <c r="N1" s="40"/>
      <c r="O1" s="16"/>
      <c r="P1" s="136"/>
      <c r="Q1" s="136"/>
      <c r="V1" s="52"/>
      <c r="W1" s="52"/>
      <c r="X1" s="5"/>
      <c r="Y1" s="5"/>
      <c r="Z1" s="3"/>
      <c r="AA1" s="3"/>
      <c r="AB1" s="3"/>
      <c r="AF1" s="131"/>
      <c r="AG1" s="212"/>
      <c r="AH1" s="223"/>
      <c r="AI1" s="212"/>
      <c r="AJ1" s="223"/>
      <c r="AK1" s="212"/>
      <c r="AL1" s="223"/>
      <c r="AM1" s="212"/>
      <c r="AN1" s="223"/>
      <c r="AO1" s="212"/>
      <c r="AP1" s="223"/>
      <c r="AQ1" s="216"/>
      <c r="AR1" s="216"/>
      <c r="AS1" s="216"/>
      <c r="AT1" s="216"/>
      <c r="AU1" s="216"/>
      <c r="AV1" s="216"/>
      <c r="AW1" s="216"/>
      <c r="AX1" s="216"/>
      <c r="AY1" s="216"/>
      <c r="AZ1" s="216"/>
      <c r="BA1" s="216"/>
      <c r="BB1" s="216"/>
      <c r="BC1" s="216"/>
      <c r="BD1" s="216"/>
      <c r="BE1" s="216"/>
    </row>
    <row r="2" spans="2:58" s="131" customFormat="1" ht="66.599999999999994" customHeight="1" x14ac:dyDescent="0.3">
      <c r="B2" s="445" t="s">
        <v>431</v>
      </c>
      <c r="C2" s="445" t="s">
        <v>0</v>
      </c>
      <c r="D2" s="423" t="s">
        <v>400</v>
      </c>
      <c r="E2" s="423" t="s">
        <v>432</v>
      </c>
      <c r="F2" s="423" t="s">
        <v>433</v>
      </c>
      <c r="G2" s="423" t="s">
        <v>434</v>
      </c>
      <c r="H2" s="423" t="s">
        <v>435</v>
      </c>
      <c r="I2" s="423" t="s">
        <v>436</v>
      </c>
      <c r="J2" s="423" t="s">
        <v>437</v>
      </c>
      <c r="K2" s="423" t="s">
        <v>438</v>
      </c>
      <c r="L2" s="423" t="s">
        <v>439</v>
      </c>
      <c r="M2" s="423" t="s">
        <v>403</v>
      </c>
      <c r="N2" s="423" t="s">
        <v>589</v>
      </c>
      <c r="O2" s="423" t="s">
        <v>401</v>
      </c>
      <c r="P2" s="423" t="s">
        <v>402</v>
      </c>
      <c r="Q2" s="438" t="s">
        <v>769</v>
      </c>
      <c r="R2" s="430" t="s">
        <v>670</v>
      </c>
      <c r="S2" s="446"/>
      <c r="T2" s="437" t="s">
        <v>440</v>
      </c>
      <c r="U2" s="428" t="s">
        <v>441</v>
      </c>
      <c r="V2" s="433" t="s">
        <v>673</v>
      </c>
      <c r="W2" s="434"/>
      <c r="X2" s="430" t="s">
        <v>676</v>
      </c>
      <c r="Y2" s="446"/>
      <c r="Z2" s="445" t="s">
        <v>679</v>
      </c>
      <c r="AA2" s="445"/>
      <c r="AB2" s="445" t="s">
        <v>681</v>
      </c>
      <c r="AC2" s="437" t="s">
        <v>682</v>
      </c>
      <c r="AF2" s="432" t="s">
        <v>761</v>
      </c>
      <c r="AG2" s="425" t="s">
        <v>773</v>
      </c>
      <c r="AH2" s="426"/>
      <c r="AI2" s="426"/>
      <c r="AJ2" s="426"/>
      <c r="AK2" s="426"/>
      <c r="AL2" s="426"/>
      <c r="AM2" s="426"/>
      <c r="AN2" s="426"/>
      <c r="AO2" s="426"/>
      <c r="AP2" s="427"/>
      <c r="AQ2" s="421" t="s">
        <v>765</v>
      </c>
      <c r="AR2" s="421"/>
      <c r="AS2" s="421"/>
      <c r="AT2" s="443"/>
      <c r="AU2" s="436"/>
      <c r="AV2" s="444" t="s">
        <v>805</v>
      </c>
      <c r="AW2" s="443"/>
      <c r="AX2" s="443"/>
      <c r="AY2" s="443"/>
      <c r="AZ2" s="443"/>
      <c r="BA2" s="436"/>
      <c r="BB2" s="444" t="s">
        <v>757</v>
      </c>
      <c r="BC2" s="436"/>
      <c r="BD2" s="441" t="s">
        <v>806</v>
      </c>
      <c r="BE2" s="442" t="s">
        <v>947</v>
      </c>
    </row>
    <row r="3" spans="2:58" s="131" customFormat="1" ht="41.4" x14ac:dyDescent="0.3">
      <c r="B3" s="445"/>
      <c r="C3" s="445"/>
      <c r="D3" s="424"/>
      <c r="E3" s="424"/>
      <c r="F3" s="424"/>
      <c r="G3" s="424"/>
      <c r="H3" s="424"/>
      <c r="I3" s="424"/>
      <c r="J3" s="424"/>
      <c r="K3" s="424"/>
      <c r="L3" s="424"/>
      <c r="M3" s="424"/>
      <c r="N3" s="424"/>
      <c r="O3" s="424"/>
      <c r="P3" s="424"/>
      <c r="Q3" s="439"/>
      <c r="R3" s="132" t="s">
        <v>671</v>
      </c>
      <c r="S3" s="148" t="s">
        <v>672</v>
      </c>
      <c r="T3" s="437"/>
      <c r="U3" s="429"/>
      <c r="V3" s="133" t="s">
        <v>442</v>
      </c>
      <c r="W3" s="133" t="s">
        <v>443</v>
      </c>
      <c r="X3" s="132" t="s">
        <v>677</v>
      </c>
      <c r="Y3" s="132" t="s">
        <v>678</v>
      </c>
      <c r="Z3" s="140" t="s">
        <v>680</v>
      </c>
      <c r="AA3" s="140" t="s">
        <v>447</v>
      </c>
      <c r="AB3" s="445"/>
      <c r="AC3" s="437"/>
      <c r="AF3" s="432"/>
      <c r="AG3" s="213" t="s">
        <v>779</v>
      </c>
      <c r="AH3" s="224" t="s">
        <v>763</v>
      </c>
      <c r="AI3" s="215" t="s">
        <v>777</v>
      </c>
      <c r="AJ3" s="224" t="s">
        <v>763</v>
      </c>
      <c r="AK3" s="215" t="s">
        <v>778</v>
      </c>
      <c r="AL3" s="224" t="s">
        <v>763</v>
      </c>
      <c r="AM3" s="215" t="s">
        <v>775</v>
      </c>
      <c r="AN3" s="224" t="s">
        <v>763</v>
      </c>
      <c r="AO3" s="215" t="s">
        <v>776</v>
      </c>
      <c r="AP3" s="224" t="s">
        <v>763</v>
      </c>
      <c r="AQ3" s="217" t="s">
        <v>791</v>
      </c>
      <c r="AR3" s="217" t="s">
        <v>771</v>
      </c>
      <c r="AS3" s="218" t="s">
        <v>804</v>
      </c>
      <c r="AT3" s="218" t="s">
        <v>803</v>
      </c>
      <c r="AU3" s="219" t="s">
        <v>792</v>
      </c>
      <c r="AV3" s="220" t="s">
        <v>799</v>
      </c>
      <c r="AW3" s="220" t="s">
        <v>800</v>
      </c>
      <c r="AX3" s="220" t="s">
        <v>801</v>
      </c>
      <c r="AY3" s="231" t="s">
        <v>802</v>
      </c>
      <c r="AZ3" s="217" t="s">
        <v>797</v>
      </c>
      <c r="BA3" s="220" t="s">
        <v>798</v>
      </c>
      <c r="BB3" s="222" t="s">
        <v>442</v>
      </c>
      <c r="BC3" s="221" t="s">
        <v>443</v>
      </c>
      <c r="BD3" s="441"/>
      <c r="BE3" s="442"/>
    </row>
    <row r="4" spans="2:58" s="16" customFormat="1" ht="41.4" x14ac:dyDescent="0.3">
      <c r="B4" s="6">
        <v>1</v>
      </c>
      <c r="C4" s="49" t="s">
        <v>57</v>
      </c>
      <c r="D4" s="49" t="s">
        <v>599</v>
      </c>
      <c r="E4" s="11" t="s">
        <v>376</v>
      </c>
      <c r="F4" s="6" t="s">
        <v>396</v>
      </c>
      <c r="G4" s="11" t="s">
        <v>30</v>
      </c>
      <c r="H4" s="6" t="s">
        <v>31</v>
      </c>
      <c r="I4" s="10">
        <v>44256</v>
      </c>
      <c r="J4" s="10">
        <v>44560</v>
      </c>
      <c r="K4" s="17" t="s">
        <v>4</v>
      </c>
      <c r="L4" s="6" t="s">
        <v>385</v>
      </c>
      <c r="M4" s="20" t="s">
        <v>458</v>
      </c>
      <c r="N4" s="34" t="s">
        <v>590</v>
      </c>
      <c r="O4" s="121" t="s">
        <v>922</v>
      </c>
      <c r="P4" s="20" t="s">
        <v>457</v>
      </c>
      <c r="Q4" s="20">
        <v>8475.0530000000017</v>
      </c>
      <c r="R4" s="15">
        <v>0</v>
      </c>
      <c r="S4" s="15">
        <v>0</v>
      </c>
      <c r="T4" s="15">
        <v>0</v>
      </c>
      <c r="U4" s="17" t="s">
        <v>381</v>
      </c>
      <c r="V4" s="120">
        <v>0</v>
      </c>
      <c r="W4" s="120">
        <v>1275.8</v>
      </c>
      <c r="X4" s="15">
        <v>0</v>
      </c>
      <c r="Y4" s="15">
        <v>300</v>
      </c>
      <c r="Z4" s="15">
        <v>290</v>
      </c>
      <c r="AA4" s="15">
        <v>20</v>
      </c>
      <c r="AB4" s="15">
        <v>187673</v>
      </c>
      <c r="AC4" s="15">
        <v>186420</v>
      </c>
      <c r="AD4" s="237"/>
      <c r="AF4" s="16" t="s">
        <v>386</v>
      </c>
      <c r="AG4" s="173">
        <f>+SUMIFS(Q:Q,F:F,AF4)</f>
        <v>48123.992604999999</v>
      </c>
      <c r="AH4" s="180">
        <f>+AG4/$AG$18</f>
        <v>0.13993880441620304</v>
      </c>
      <c r="AI4" s="173">
        <f>SUMIFS(Q:Q,F:F,AF4,P:P,$P$5)</f>
        <v>30289.111720000001</v>
      </c>
      <c r="AJ4" s="180">
        <f>+AI4/$AI$18</f>
        <v>0.17020898456888939</v>
      </c>
      <c r="AK4" s="173">
        <f>SUMIFS(Q:Q,F:F,AF4,P:P,$P$4)</f>
        <v>17834.880884999999</v>
      </c>
      <c r="AL4" s="180">
        <f>+AK4/$AK$18</f>
        <v>0.10747747489662433</v>
      </c>
      <c r="AM4" s="173">
        <f>SUMIFS(Q:Q,F:F,AF4,M:M,$M$4)</f>
        <v>9393.3398850000012</v>
      </c>
      <c r="AN4" s="180">
        <f>+AM4/$AM$18</f>
        <v>0.14384505096235289</v>
      </c>
      <c r="AO4" s="173">
        <f>SUMIFS(Q:Q,F:F,AF4,M:M,$M$6)</f>
        <v>38730.652719999998</v>
      </c>
      <c r="AP4" s="180">
        <f>+AO4/$AO$18</f>
        <v>0.13902318041837106</v>
      </c>
      <c r="AQ4" s="44">
        <f>+SUMIFS(T:T,F:F,AF4)</f>
        <v>642</v>
      </c>
      <c r="AR4" s="44">
        <f>+AS4+AT4</f>
        <v>417</v>
      </c>
      <c r="AS4" s="44">
        <f>+SUMIFS(Z:Z,F:F,AF4)</f>
        <v>342</v>
      </c>
      <c r="AT4" s="198">
        <f>+SUMIFS(AA:AA,F:F,AF4)</f>
        <v>75</v>
      </c>
      <c r="AU4" s="211">
        <f>+AQ4+AR4</f>
        <v>1059</v>
      </c>
      <c r="AV4" s="44">
        <f>+SUMIFS(R:R,F:F,AF4)</f>
        <v>460</v>
      </c>
      <c r="AW4" s="44">
        <f>+SUMIFS(S:S,F:F,AF4)</f>
        <v>0</v>
      </c>
      <c r="AX4" s="44">
        <f>+SUMIFS(X:X,F:F,AF4)</f>
        <v>295</v>
      </c>
      <c r="AY4" s="198">
        <f>+SUMIFS(Y:Y,F:F,AF4)</f>
        <v>350</v>
      </c>
      <c r="AZ4" s="197">
        <f>+AV4+AX4</f>
        <v>755</v>
      </c>
      <c r="BA4" s="198">
        <f>+AW4+AY4</f>
        <v>350</v>
      </c>
      <c r="BB4" s="44">
        <f>+SUMIFS(V:V,F:F,AF4)</f>
        <v>11660.8</v>
      </c>
      <c r="BC4" s="198">
        <f>+SUMIFS(W:W,F:F,AF4)</f>
        <v>17078.8</v>
      </c>
      <c r="BD4" s="211">
        <f>+SUMIFS(AC:AC,F:F,AF4)</f>
        <v>113509</v>
      </c>
      <c r="BE4" s="211">
        <f>+SUMIFS(AB:AB,F:F,AF4)-AB12-AB13-AB14-AB15-AB16-AB18</f>
        <v>3231689</v>
      </c>
      <c r="BF4" s="38" t="s">
        <v>946</v>
      </c>
    </row>
    <row r="5" spans="2:58" s="16" customFormat="1" ht="27.6" x14ac:dyDescent="0.3">
      <c r="B5" s="6">
        <f>+B4+1</f>
        <v>2</v>
      </c>
      <c r="C5" s="49" t="s">
        <v>372</v>
      </c>
      <c r="D5" s="49" t="s">
        <v>606</v>
      </c>
      <c r="E5" s="11" t="s">
        <v>376</v>
      </c>
      <c r="F5" s="6" t="s">
        <v>396</v>
      </c>
      <c r="G5" s="6" t="s">
        <v>42</v>
      </c>
      <c r="H5" s="6" t="s">
        <v>43</v>
      </c>
      <c r="I5" s="36">
        <v>44296</v>
      </c>
      <c r="J5" s="36">
        <v>44500</v>
      </c>
      <c r="K5" s="17" t="s">
        <v>5</v>
      </c>
      <c r="L5" s="6" t="s">
        <v>385</v>
      </c>
      <c r="M5" s="20" t="s">
        <v>458</v>
      </c>
      <c r="N5" s="34" t="s">
        <v>591</v>
      </c>
      <c r="O5" s="121" t="s">
        <v>641</v>
      </c>
      <c r="P5" s="20" t="s">
        <v>456</v>
      </c>
      <c r="Q5" s="20">
        <v>24999.999800000001</v>
      </c>
      <c r="R5" s="15">
        <v>0</v>
      </c>
      <c r="S5" s="15">
        <v>0</v>
      </c>
      <c r="T5" s="15">
        <v>0</v>
      </c>
      <c r="U5" s="17" t="s">
        <v>381</v>
      </c>
      <c r="V5" s="120">
        <v>0</v>
      </c>
      <c r="W5" s="120">
        <v>6000</v>
      </c>
      <c r="X5" s="15">
        <v>100</v>
      </c>
      <c r="Y5" s="15">
        <v>0</v>
      </c>
      <c r="Z5" s="15">
        <v>46</v>
      </c>
      <c r="AA5" s="15">
        <v>5</v>
      </c>
      <c r="AB5" s="15">
        <v>173088</v>
      </c>
      <c r="AC5" s="15">
        <v>55000</v>
      </c>
      <c r="AD5" s="237"/>
      <c r="AF5" s="3" t="s">
        <v>387</v>
      </c>
      <c r="AG5" s="173">
        <f t="shared" ref="AG5:AG17" si="0">+SUMIFS(Q:Q,F:F,AF5)</f>
        <v>5359.3168500000002</v>
      </c>
      <c r="AH5" s="180">
        <f t="shared" ref="AH5:AH17" si="1">+AG5/$AG$18</f>
        <v>1.5584251261785169E-2</v>
      </c>
      <c r="AI5" s="173">
        <f t="shared" ref="AI5:AI17" si="2">SUMIFS(Q:Q,F:F,AF5,P:P,$P$5)</f>
        <v>0</v>
      </c>
      <c r="AJ5" s="180">
        <f t="shared" ref="AJ5:AJ17" si="3">+AI5/$AI$18</f>
        <v>0</v>
      </c>
      <c r="AK5" s="173">
        <f t="shared" ref="AK5:AK17" si="4">SUMIFS(Q:Q,F:F,AF5,P:P,$P$4)</f>
        <v>5359.3168500000002</v>
      </c>
      <c r="AL5" s="180">
        <f t="shared" ref="AL5:AL17" si="5">+AK5/$AK$18</f>
        <v>3.2296590368224985E-2</v>
      </c>
      <c r="AM5" s="173">
        <f t="shared" ref="AM5:AM17" si="6">SUMIFS(Q:Q,F:F,AF5,M:M,$M$4)</f>
        <v>5359.3168500000002</v>
      </c>
      <c r="AN5" s="180">
        <f t="shared" ref="AN5:AN17" si="7">+AM5/$AM$18</f>
        <v>8.2069978820067627E-2</v>
      </c>
      <c r="AO5" s="173">
        <f t="shared" ref="AO5:AO17" si="8">SUMIFS(Q:Q,F:F,AF5,M:M,$M$6)</f>
        <v>0</v>
      </c>
      <c r="AP5" s="180">
        <f t="shared" ref="AP5:AP17" si="9">+AO5/$AO$18</f>
        <v>0</v>
      </c>
      <c r="AQ5" s="44">
        <f t="shared" ref="AQ5:AQ17" si="10">+SUMIFS(T:T,F:F,AF5)</f>
        <v>0</v>
      </c>
      <c r="AR5" s="44">
        <f t="shared" ref="AR5:AR17" si="11">+AS5+AT5</f>
        <v>114</v>
      </c>
      <c r="AS5" s="44">
        <f t="shared" ref="AS5:AS17" si="12">+SUMIFS(Z:Z,F:F,AF5)</f>
        <v>102</v>
      </c>
      <c r="AT5" s="198">
        <f t="shared" ref="AT5:AT17" si="13">+SUMIFS(AA:AA,F:F,AF5)</f>
        <v>12</v>
      </c>
      <c r="AU5" s="211">
        <f t="shared" ref="AU5:AU17" si="14">+AQ5+AR5</f>
        <v>114</v>
      </c>
      <c r="AV5" s="44">
        <f t="shared" ref="AV5:AV17" si="15">+SUMIFS(R:R,F:F,AF5)</f>
        <v>0</v>
      </c>
      <c r="AW5" s="44">
        <f t="shared" ref="AW5:AW17" si="16">+SUMIFS(S:S,F:F,AF5)</f>
        <v>0</v>
      </c>
      <c r="AX5" s="44">
        <f t="shared" ref="AX5:AX17" si="17">+SUMIFS(X:X,F:F,AF5)</f>
        <v>8</v>
      </c>
      <c r="AY5" s="198">
        <f t="shared" ref="AY5:AY17" si="18">+SUMIFS(Y:Y,F:F,AF5)</f>
        <v>250</v>
      </c>
      <c r="AZ5" s="197">
        <f t="shared" ref="AZ5:AZ17" si="19">+AV5+AX5</f>
        <v>8</v>
      </c>
      <c r="BA5" s="198">
        <f t="shared" ref="BA5:BA17" si="20">+AW5+AY5</f>
        <v>250</v>
      </c>
      <c r="BB5" s="44">
        <f t="shared" ref="BB5:BB17" si="21">+SUMIFS(V:V,F:F,AF5)</f>
        <v>0</v>
      </c>
      <c r="BC5" s="198">
        <f t="shared" ref="BC5:BC17" si="22">+SUMIFS(W:W,F:F,AF5)</f>
        <v>933.92</v>
      </c>
      <c r="BD5" s="211">
        <f t="shared" ref="BD5:BD17" si="23">+SUMIFS(AC:AC,F:F,AF5)</f>
        <v>21950</v>
      </c>
      <c r="BE5" s="211">
        <f t="shared" ref="BE5:BE16" si="24">+SUMIFS(AB:AB,F:F,AF5)</f>
        <v>26134</v>
      </c>
    </row>
    <row r="6" spans="2:58" s="16" customFormat="1" ht="41.4" x14ac:dyDescent="0.3">
      <c r="B6" s="6">
        <f t="shared" ref="B6:B39" si="25">+B5+1</f>
        <v>3</v>
      </c>
      <c r="C6" s="49" t="s">
        <v>53</v>
      </c>
      <c r="D6" s="49" t="s">
        <v>600</v>
      </c>
      <c r="E6" s="11" t="s">
        <v>376</v>
      </c>
      <c r="F6" s="6" t="s">
        <v>396</v>
      </c>
      <c r="G6" s="6" t="s">
        <v>54</v>
      </c>
      <c r="H6" s="6" t="s">
        <v>32</v>
      </c>
      <c r="I6" s="10">
        <v>44530</v>
      </c>
      <c r="J6" s="10">
        <v>44926</v>
      </c>
      <c r="K6" s="17" t="s">
        <v>6</v>
      </c>
      <c r="L6" s="6" t="s">
        <v>385</v>
      </c>
      <c r="M6" s="20" t="s">
        <v>455</v>
      </c>
      <c r="N6" s="34" t="s">
        <v>592</v>
      </c>
      <c r="O6" s="121" t="s">
        <v>634</v>
      </c>
      <c r="P6" s="20" t="s">
        <v>457</v>
      </c>
      <c r="Q6" s="20">
        <v>7843.4691099999991</v>
      </c>
      <c r="R6" s="15">
        <v>220</v>
      </c>
      <c r="S6" s="15">
        <v>0</v>
      </c>
      <c r="T6" s="15">
        <v>268</v>
      </c>
      <c r="U6" s="17" t="s">
        <v>381</v>
      </c>
      <c r="V6" s="120">
        <v>0</v>
      </c>
      <c r="W6" s="120">
        <v>2124</v>
      </c>
      <c r="X6" s="15">
        <v>0</v>
      </c>
      <c r="Y6" s="15">
        <v>0</v>
      </c>
      <c r="Z6" s="15">
        <v>0</v>
      </c>
      <c r="AA6" s="15">
        <v>0</v>
      </c>
      <c r="AB6" s="15">
        <v>3090000</v>
      </c>
      <c r="AC6" s="15">
        <v>13200</v>
      </c>
      <c r="AD6" s="237"/>
      <c r="AF6" s="16" t="s">
        <v>398</v>
      </c>
      <c r="AG6" s="173">
        <f t="shared" si="0"/>
        <v>40940.305001000001</v>
      </c>
      <c r="AH6" s="180">
        <f t="shared" si="1"/>
        <v>0.11904950159267107</v>
      </c>
      <c r="AI6" s="173">
        <f t="shared" si="2"/>
        <v>15045.065895</v>
      </c>
      <c r="AJ6" s="180">
        <f t="shared" si="3"/>
        <v>8.4545410655574652E-2</v>
      </c>
      <c r="AK6" s="173">
        <f t="shared" si="4"/>
        <v>25895.239106000005</v>
      </c>
      <c r="AL6" s="180">
        <f t="shared" si="5"/>
        <v>0.15605121945602501</v>
      </c>
      <c r="AM6" s="173">
        <f t="shared" si="6"/>
        <v>8349.2875630000017</v>
      </c>
      <c r="AN6" s="180">
        <f t="shared" si="7"/>
        <v>0.12785694009826348</v>
      </c>
      <c r="AO6" s="173">
        <f t="shared" si="8"/>
        <v>32591.017438000003</v>
      </c>
      <c r="AP6" s="180">
        <f t="shared" si="9"/>
        <v>0.11698503844118412</v>
      </c>
      <c r="AQ6" s="44">
        <f t="shared" si="10"/>
        <v>486.25</v>
      </c>
      <c r="AR6" s="44">
        <f t="shared" si="11"/>
        <v>397.25</v>
      </c>
      <c r="AS6" s="44">
        <f t="shared" si="12"/>
        <v>358</v>
      </c>
      <c r="AT6" s="198">
        <f t="shared" si="13"/>
        <v>39.25</v>
      </c>
      <c r="AU6" s="211">
        <f t="shared" si="14"/>
        <v>883.5</v>
      </c>
      <c r="AV6" s="44">
        <f t="shared" si="15"/>
        <v>530</v>
      </c>
      <c r="AW6" s="44">
        <f t="shared" si="16"/>
        <v>0</v>
      </c>
      <c r="AX6" s="44">
        <f t="shared" si="17"/>
        <v>394</v>
      </c>
      <c r="AY6" s="198">
        <f t="shared" si="18"/>
        <v>0</v>
      </c>
      <c r="AZ6" s="197">
        <f t="shared" si="19"/>
        <v>924</v>
      </c>
      <c r="BA6" s="198">
        <f t="shared" si="20"/>
        <v>0</v>
      </c>
      <c r="BB6" s="44">
        <f t="shared" si="21"/>
        <v>49599</v>
      </c>
      <c r="BC6" s="198">
        <f t="shared" si="22"/>
        <v>51419</v>
      </c>
      <c r="BD6" s="211">
        <f t="shared" si="23"/>
        <v>64531</v>
      </c>
      <c r="BE6" s="211">
        <f>+SUMIFS(AB:AB,F:F,AF6)-AB30-AB31</f>
        <v>650379</v>
      </c>
      <c r="BF6" s="38" t="s">
        <v>946</v>
      </c>
    </row>
    <row r="7" spans="2:58" s="16" customFormat="1" ht="27.6" x14ac:dyDescent="0.3">
      <c r="B7" s="6">
        <f t="shared" si="25"/>
        <v>4</v>
      </c>
      <c r="C7" s="49" t="s">
        <v>371</v>
      </c>
      <c r="D7" s="49" t="s">
        <v>601</v>
      </c>
      <c r="E7" s="11" t="s">
        <v>376</v>
      </c>
      <c r="F7" s="6" t="s">
        <v>396</v>
      </c>
      <c r="G7" s="6" t="s">
        <v>52</v>
      </c>
      <c r="H7" s="6" t="s">
        <v>38</v>
      </c>
      <c r="I7" s="10">
        <v>44530</v>
      </c>
      <c r="J7" s="10">
        <v>44560</v>
      </c>
      <c r="K7" s="17" t="s">
        <v>7</v>
      </c>
      <c r="L7" s="6" t="s">
        <v>385</v>
      </c>
      <c r="M7" s="20" t="s">
        <v>455</v>
      </c>
      <c r="N7" s="34" t="s">
        <v>590</v>
      </c>
      <c r="O7" s="121" t="s">
        <v>635</v>
      </c>
      <c r="P7" s="20" t="s">
        <v>457</v>
      </c>
      <c r="Q7" s="20">
        <v>13130.75600311</v>
      </c>
      <c r="R7" s="15">
        <v>0</v>
      </c>
      <c r="S7" s="15">
        <v>0</v>
      </c>
      <c r="T7" s="15">
        <v>20</v>
      </c>
      <c r="U7" s="17" t="s">
        <v>382</v>
      </c>
      <c r="V7" s="120">
        <v>500</v>
      </c>
      <c r="W7" s="120">
        <v>500</v>
      </c>
      <c r="X7" s="15">
        <v>0</v>
      </c>
      <c r="Y7" s="15">
        <v>0</v>
      </c>
      <c r="Z7" s="15">
        <v>0</v>
      </c>
      <c r="AA7" s="15">
        <v>0</v>
      </c>
      <c r="AB7" s="15">
        <v>79733</v>
      </c>
      <c r="AC7" s="15">
        <v>45000</v>
      </c>
      <c r="AD7" s="237"/>
      <c r="AF7" s="3" t="s">
        <v>388</v>
      </c>
      <c r="AG7" s="173">
        <f t="shared" si="0"/>
        <v>3557.8220000000001</v>
      </c>
      <c r="AH7" s="180">
        <f t="shared" si="1"/>
        <v>1.0345720087944984E-2</v>
      </c>
      <c r="AI7" s="173">
        <f t="shared" si="2"/>
        <v>3557.8220000000001</v>
      </c>
      <c r="AJ7" s="180">
        <f t="shared" si="3"/>
        <v>1.9993101002595371E-2</v>
      </c>
      <c r="AK7" s="173">
        <f t="shared" si="4"/>
        <v>0</v>
      </c>
      <c r="AL7" s="180">
        <f t="shared" si="5"/>
        <v>0</v>
      </c>
      <c r="AM7" s="173">
        <f t="shared" si="6"/>
        <v>0</v>
      </c>
      <c r="AN7" s="180">
        <f t="shared" si="7"/>
        <v>0</v>
      </c>
      <c r="AO7" s="173">
        <f t="shared" si="8"/>
        <v>3557.8220000000001</v>
      </c>
      <c r="AP7" s="180">
        <f t="shared" si="9"/>
        <v>1.2770756366495075E-2</v>
      </c>
      <c r="AQ7" s="44">
        <f t="shared" si="10"/>
        <v>159</v>
      </c>
      <c r="AR7" s="44">
        <f t="shared" si="11"/>
        <v>0</v>
      </c>
      <c r="AS7" s="44">
        <f t="shared" si="12"/>
        <v>0</v>
      </c>
      <c r="AT7" s="198">
        <f t="shared" si="13"/>
        <v>0</v>
      </c>
      <c r="AU7" s="211">
        <f t="shared" si="14"/>
        <v>159</v>
      </c>
      <c r="AV7" s="44">
        <f t="shared" si="15"/>
        <v>50</v>
      </c>
      <c r="AW7" s="44">
        <f t="shared" si="16"/>
        <v>150</v>
      </c>
      <c r="AX7" s="44">
        <f t="shared" si="17"/>
        <v>0</v>
      </c>
      <c r="AY7" s="198">
        <f t="shared" si="18"/>
        <v>0</v>
      </c>
      <c r="AZ7" s="197">
        <f t="shared" si="19"/>
        <v>50</v>
      </c>
      <c r="BA7" s="198">
        <f t="shared" si="20"/>
        <v>150</v>
      </c>
      <c r="BB7" s="44">
        <f t="shared" si="21"/>
        <v>11685</v>
      </c>
      <c r="BC7" s="198">
        <f t="shared" si="22"/>
        <v>14046</v>
      </c>
      <c r="BD7" s="211">
        <f t="shared" si="23"/>
        <v>48811</v>
      </c>
      <c r="BE7" s="211">
        <f t="shared" si="24"/>
        <v>171334</v>
      </c>
    </row>
    <row r="8" spans="2:58" s="16" customFormat="1" ht="55.2" x14ac:dyDescent="0.3">
      <c r="B8" s="6">
        <f t="shared" si="25"/>
        <v>5</v>
      </c>
      <c r="C8" s="49" t="s">
        <v>370</v>
      </c>
      <c r="D8" s="49" t="s">
        <v>602</v>
      </c>
      <c r="E8" s="11" t="s">
        <v>376</v>
      </c>
      <c r="F8" s="6" t="s">
        <v>396</v>
      </c>
      <c r="G8" s="50" t="s">
        <v>20</v>
      </c>
      <c r="H8" s="6" t="s">
        <v>21</v>
      </c>
      <c r="I8" s="10">
        <v>44316</v>
      </c>
      <c r="J8" s="10">
        <v>44681</v>
      </c>
      <c r="K8" s="17" t="s">
        <v>6</v>
      </c>
      <c r="L8" s="6" t="s">
        <v>385</v>
      </c>
      <c r="M8" s="20" t="s">
        <v>455</v>
      </c>
      <c r="N8" s="34" t="s">
        <v>590</v>
      </c>
      <c r="O8" s="121" t="s">
        <v>636</v>
      </c>
      <c r="P8" s="20" t="s">
        <v>457</v>
      </c>
      <c r="Q8" s="20">
        <v>13001.418912679999</v>
      </c>
      <c r="R8" s="15">
        <v>0</v>
      </c>
      <c r="S8" s="15">
        <v>0</v>
      </c>
      <c r="T8" s="15">
        <v>37</v>
      </c>
      <c r="U8" s="17" t="s">
        <v>382</v>
      </c>
      <c r="V8" s="120">
        <v>2652.16</v>
      </c>
      <c r="W8" s="120">
        <v>2652.16</v>
      </c>
      <c r="X8" s="15">
        <v>40</v>
      </c>
      <c r="Y8" s="15">
        <v>0</v>
      </c>
      <c r="Z8" s="15">
        <v>21</v>
      </c>
      <c r="AA8" s="15">
        <v>3</v>
      </c>
      <c r="AB8" s="15">
        <v>146254</v>
      </c>
      <c r="AC8" s="15">
        <v>36500</v>
      </c>
      <c r="AD8" s="237"/>
      <c r="AF8" s="3" t="s">
        <v>389</v>
      </c>
      <c r="AG8" s="173">
        <f t="shared" si="0"/>
        <v>15656.823865999999</v>
      </c>
      <c r="AH8" s="180">
        <f t="shared" si="1"/>
        <v>4.552816784647816E-2</v>
      </c>
      <c r="AI8" s="173">
        <f t="shared" si="2"/>
        <v>8724.7968959999998</v>
      </c>
      <c r="AJ8" s="180">
        <f t="shared" si="3"/>
        <v>4.9028800645130238E-2</v>
      </c>
      <c r="AK8" s="173">
        <f t="shared" si="4"/>
        <v>6932.0269699999999</v>
      </c>
      <c r="AL8" s="180">
        <f t="shared" si="5"/>
        <v>4.1774136842007731E-2</v>
      </c>
      <c r="AM8" s="173">
        <f t="shared" si="6"/>
        <v>8724.7968959999998</v>
      </c>
      <c r="AN8" s="180">
        <f t="shared" si="7"/>
        <v>0.13360730789113762</v>
      </c>
      <c r="AO8" s="173">
        <f t="shared" si="8"/>
        <v>6932.0269699999999</v>
      </c>
      <c r="AP8" s="180">
        <f t="shared" si="9"/>
        <v>2.4882421762483637E-2</v>
      </c>
      <c r="AQ8" s="44">
        <f t="shared" si="10"/>
        <v>130</v>
      </c>
      <c r="AR8" s="44">
        <f t="shared" si="11"/>
        <v>176</v>
      </c>
      <c r="AS8" s="44">
        <f t="shared" si="12"/>
        <v>145</v>
      </c>
      <c r="AT8" s="198">
        <f t="shared" si="13"/>
        <v>31</v>
      </c>
      <c r="AU8" s="211">
        <f t="shared" si="14"/>
        <v>306</v>
      </c>
      <c r="AV8" s="44">
        <f t="shared" si="15"/>
        <v>220</v>
      </c>
      <c r="AW8" s="44">
        <f t="shared" si="16"/>
        <v>0</v>
      </c>
      <c r="AX8" s="44">
        <f t="shared" si="17"/>
        <v>90</v>
      </c>
      <c r="AY8" s="198">
        <f t="shared" si="18"/>
        <v>0</v>
      </c>
      <c r="AZ8" s="197">
        <f t="shared" si="19"/>
        <v>310</v>
      </c>
      <c r="BA8" s="198">
        <f t="shared" si="20"/>
        <v>0</v>
      </c>
      <c r="BB8" s="44">
        <f t="shared" si="21"/>
        <v>2285</v>
      </c>
      <c r="BC8" s="198">
        <f t="shared" si="22"/>
        <v>4560</v>
      </c>
      <c r="BD8" s="211">
        <f t="shared" si="23"/>
        <v>186044</v>
      </c>
      <c r="BE8" s="211">
        <f t="shared" si="24"/>
        <v>986180</v>
      </c>
    </row>
    <row r="9" spans="2:58" s="16" customFormat="1" ht="96.6" x14ac:dyDescent="0.3">
      <c r="B9" s="6">
        <f t="shared" si="25"/>
        <v>6</v>
      </c>
      <c r="C9" s="49" t="s">
        <v>369</v>
      </c>
      <c r="D9" s="49" t="s">
        <v>603</v>
      </c>
      <c r="E9" s="11" t="s">
        <v>376</v>
      </c>
      <c r="F9" s="6" t="s">
        <v>396</v>
      </c>
      <c r="G9" s="23" t="s">
        <v>15</v>
      </c>
      <c r="H9" s="23" t="s">
        <v>16</v>
      </c>
      <c r="I9" s="37">
        <v>44530</v>
      </c>
      <c r="J9" s="37">
        <v>44560</v>
      </c>
      <c r="K9" s="58" t="s">
        <v>8</v>
      </c>
      <c r="L9" s="6" t="s">
        <v>385</v>
      </c>
      <c r="M9" s="20" t="s">
        <v>455</v>
      </c>
      <c r="N9" s="34" t="s">
        <v>590</v>
      </c>
      <c r="O9" s="137" t="s">
        <v>642</v>
      </c>
      <c r="P9" s="20" t="s">
        <v>456</v>
      </c>
      <c r="Q9" s="20">
        <v>30063.938999999998</v>
      </c>
      <c r="R9" s="24">
        <v>0</v>
      </c>
      <c r="S9" s="24" t="s">
        <v>17</v>
      </c>
      <c r="T9" s="24" t="s">
        <v>17</v>
      </c>
      <c r="U9" s="129" t="s">
        <v>381</v>
      </c>
      <c r="V9" s="127">
        <v>0</v>
      </c>
      <c r="W9" s="127">
        <v>4695.37</v>
      </c>
      <c r="X9" s="24">
        <v>140</v>
      </c>
      <c r="Y9" s="24" t="s">
        <v>17</v>
      </c>
      <c r="Z9" s="24">
        <v>137</v>
      </c>
      <c r="AA9" s="24">
        <v>43</v>
      </c>
      <c r="AB9" s="15">
        <v>111219</v>
      </c>
      <c r="AC9" s="24">
        <v>20605</v>
      </c>
      <c r="AD9" s="237"/>
      <c r="AF9" s="3" t="s">
        <v>397</v>
      </c>
      <c r="AG9" s="173">
        <f t="shared" si="0"/>
        <v>15923.213</v>
      </c>
      <c r="AH9" s="180">
        <f t="shared" si="1"/>
        <v>4.630279553016612E-2</v>
      </c>
      <c r="AI9" s="173">
        <f t="shared" si="2"/>
        <v>0</v>
      </c>
      <c r="AJ9" s="180">
        <f t="shared" si="3"/>
        <v>0</v>
      </c>
      <c r="AK9" s="173">
        <f t="shared" si="4"/>
        <v>15923.213</v>
      </c>
      <c r="AL9" s="180">
        <f t="shared" si="5"/>
        <v>9.5957283736078189E-2</v>
      </c>
      <c r="AM9" s="173">
        <f t="shared" si="6"/>
        <v>0</v>
      </c>
      <c r="AN9" s="180">
        <f t="shared" si="7"/>
        <v>0</v>
      </c>
      <c r="AO9" s="173">
        <f t="shared" si="8"/>
        <v>15923.213</v>
      </c>
      <c r="AP9" s="180">
        <f t="shared" si="9"/>
        <v>5.7156168519618786E-2</v>
      </c>
      <c r="AQ9" s="44">
        <f t="shared" si="10"/>
        <v>36</v>
      </c>
      <c r="AR9" s="44">
        <f t="shared" si="11"/>
        <v>0</v>
      </c>
      <c r="AS9" s="44">
        <f t="shared" si="12"/>
        <v>0</v>
      </c>
      <c r="AT9" s="198">
        <f t="shared" si="13"/>
        <v>0</v>
      </c>
      <c r="AU9" s="211">
        <f t="shared" si="14"/>
        <v>36</v>
      </c>
      <c r="AV9" s="44">
        <f t="shared" si="15"/>
        <v>35</v>
      </c>
      <c r="AW9" s="44">
        <f t="shared" si="16"/>
        <v>10</v>
      </c>
      <c r="AX9" s="44">
        <f t="shared" si="17"/>
        <v>0</v>
      </c>
      <c r="AY9" s="198">
        <f t="shared" si="18"/>
        <v>0</v>
      </c>
      <c r="AZ9" s="197">
        <f t="shared" si="19"/>
        <v>35</v>
      </c>
      <c r="BA9" s="198">
        <f t="shared" si="20"/>
        <v>10</v>
      </c>
      <c r="BB9" s="44">
        <f t="shared" si="21"/>
        <v>8448</v>
      </c>
      <c r="BC9" s="198">
        <f t="shared" si="22"/>
        <v>8448</v>
      </c>
      <c r="BD9" s="211">
        <f t="shared" si="23"/>
        <v>2894</v>
      </c>
      <c r="BE9" s="211">
        <f t="shared" si="24"/>
        <v>1924163</v>
      </c>
    </row>
    <row r="10" spans="2:58" s="16" customFormat="1" ht="27.6" x14ac:dyDescent="0.3">
      <c r="B10" s="6">
        <f t="shared" si="25"/>
        <v>7</v>
      </c>
      <c r="C10" s="49" t="s">
        <v>136</v>
      </c>
      <c r="D10" s="49" t="s">
        <v>604</v>
      </c>
      <c r="E10" s="11" t="s">
        <v>376</v>
      </c>
      <c r="F10" s="6" t="s">
        <v>396</v>
      </c>
      <c r="G10" s="11" t="s">
        <v>40</v>
      </c>
      <c r="H10" s="6" t="s">
        <v>41</v>
      </c>
      <c r="I10" s="10">
        <v>44530</v>
      </c>
      <c r="J10" s="10">
        <v>44560</v>
      </c>
      <c r="K10" s="17" t="s">
        <v>9</v>
      </c>
      <c r="L10" s="6" t="s">
        <v>385</v>
      </c>
      <c r="M10" s="20" t="s">
        <v>455</v>
      </c>
      <c r="N10" s="34" t="s">
        <v>590</v>
      </c>
      <c r="O10" s="121" t="s">
        <v>643</v>
      </c>
      <c r="P10" s="20" t="s">
        <v>457</v>
      </c>
      <c r="Q10" s="20">
        <v>8277.1229999999996</v>
      </c>
      <c r="R10" s="15">
        <v>45</v>
      </c>
      <c r="S10" s="15">
        <v>0</v>
      </c>
      <c r="T10" s="130">
        <v>65</v>
      </c>
      <c r="U10" s="17" t="s">
        <v>382</v>
      </c>
      <c r="V10" s="120">
        <v>2829</v>
      </c>
      <c r="W10" s="120">
        <v>2829</v>
      </c>
      <c r="X10" s="15">
        <v>0</v>
      </c>
      <c r="Y10" s="15">
        <v>0</v>
      </c>
      <c r="Z10" s="15">
        <v>0</v>
      </c>
      <c r="AA10" s="15">
        <v>0</v>
      </c>
      <c r="AB10" s="15">
        <v>103789</v>
      </c>
      <c r="AC10" s="130">
        <v>9228</v>
      </c>
      <c r="AD10" s="238"/>
      <c r="AF10" s="3" t="s">
        <v>391</v>
      </c>
      <c r="AG10" s="173">
        <f t="shared" si="0"/>
        <v>32682.813080000004</v>
      </c>
      <c r="AH10" s="180">
        <f t="shared" si="1"/>
        <v>9.5037704475464793E-2</v>
      </c>
      <c r="AI10" s="173">
        <f t="shared" si="2"/>
        <v>6208.1020799999997</v>
      </c>
      <c r="AJ10" s="180">
        <f t="shared" si="3"/>
        <v>3.4886290522646267E-2</v>
      </c>
      <c r="AK10" s="173">
        <f t="shared" si="4"/>
        <v>26474.711000000003</v>
      </c>
      <c r="AL10" s="180">
        <f t="shared" si="5"/>
        <v>0.15954326273583547</v>
      </c>
      <c r="AM10" s="173">
        <f t="shared" si="6"/>
        <v>0</v>
      </c>
      <c r="AN10" s="180">
        <f t="shared" si="7"/>
        <v>0</v>
      </c>
      <c r="AO10" s="173">
        <f t="shared" si="8"/>
        <v>32682.813080000004</v>
      </c>
      <c r="AP10" s="180">
        <f t="shared" si="9"/>
        <v>0.11731453771896923</v>
      </c>
      <c r="AQ10" s="44">
        <f t="shared" si="10"/>
        <v>547</v>
      </c>
      <c r="AR10" s="44">
        <f t="shared" si="11"/>
        <v>124</v>
      </c>
      <c r="AS10" s="44">
        <f t="shared" si="12"/>
        <v>109</v>
      </c>
      <c r="AT10" s="198">
        <f t="shared" si="13"/>
        <v>15</v>
      </c>
      <c r="AU10" s="211">
        <f t="shared" si="14"/>
        <v>671</v>
      </c>
      <c r="AV10" s="44">
        <f t="shared" si="15"/>
        <v>685</v>
      </c>
      <c r="AW10" s="44">
        <f t="shared" si="16"/>
        <v>0</v>
      </c>
      <c r="AX10" s="44">
        <f t="shared" si="17"/>
        <v>0</v>
      </c>
      <c r="AY10" s="198">
        <f t="shared" si="18"/>
        <v>0</v>
      </c>
      <c r="AZ10" s="197">
        <f t="shared" si="19"/>
        <v>685</v>
      </c>
      <c r="BA10" s="198">
        <f t="shared" si="20"/>
        <v>0</v>
      </c>
      <c r="BB10" s="44">
        <f t="shared" si="21"/>
        <v>36607.120000000003</v>
      </c>
      <c r="BC10" s="198">
        <f t="shared" si="22"/>
        <v>37988.270000000004</v>
      </c>
      <c r="BD10" s="211">
        <f t="shared" si="23"/>
        <v>200724</v>
      </c>
      <c r="BE10" s="211">
        <f>+SUMIFS(AB:AB,F:F,AF10)-AB24</f>
        <v>864700</v>
      </c>
      <c r="BF10" s="38" t="s">
        <v>946</v>
      </c>
    </row>
    <row r="11" spans="2:58" ht="82.8" x14ac:dyDescent="0.3">
      <c r="B11" s="6">
        <f t="shared" si="25"/>
        <v>8</v>
      </c>
      <c r="C11" s="8" t="s">
        <v>368</v>
      </c>
      <c r="D11" s="8" t="s">
        <v>605</v>
      </c>
      <c r="E11" s="11" t="s">
        <v>376</v>
      </c>
      <c r="F11" s="6" t="s">
        <v>387</v>
      </c>
      <c r="G11" s="11" t="s">
        <v>72</v>
      </c>
      <c r="H11" s="11" t="s">
        <v>73</v>
      </c>
      <c r="I11" s="35" t="s">
        <v>74</v>
      </c>
      <c r="J11" s="35" t="s">
        <v>75</v>
      </c>
      <c r="K11" s="17" t="s">
        <v>76</v>
      </c>
      <c r="L11" s="6" t="s">
        <v>385</v>
      </c>
      <c r="M11" s="20" t="s">
        <v>458</v>
      </c>
      <c r="N11" s="34" t="s">
        <v>590</v>
      </c>
      <c r="O11" s="121" t="s">
        <v>637</v>
      </c>
      <c r="P11" s="20" t="s">
        <v>457</v>
      </c>
      <c r="Q11" s="20">
        <v>5359.3168500000002</v>
      </c>
      <c r="R11" s="34" t="s">
        <v>17</v>
      </c>
      <c r="S11" s="34" t="s">
        <v>17</v>
      </c>
      <c r="T11" s="34" t="s">
        <v>17</v>
      </c>
      <c r="U11" s="17" t="s">
        <v>381</v>
      </c>
      <c r="V11" s="115">
        <v>0</v>
      </c>
      <c r="W11" s="115">
        <v>933.92</v>
      </c>
      <c r="X11" s="30">
        <v>8</v>
      </c>
      <c r="Y11" s="30">
        <v>250</v>
      </c>
      <c r="Z11" s="34">
        <v>102</v>
      </c>
      <c r="AA11" s="34">
        <v>12</v>
      </c>
      <c r="AB11" s="30">
        <v>26134</v>
      </c>
      <c r="AC11" s="34">
        <v>21950</v>
      </c>
      <c r="AD11" s="239"/>
      <c r="AE11" s="32"/>
      <c r="AF11" s="3" t="s">
        <v>390</v>
      </c>
      <c r="AG11" s="173">
        <f t="shared" si="0"/>
        <v>0</v>
      </c>
      <c r="AH11" s="180">
        <f t="shared" si="1"/>
        <v>0</v>
      </c>
      <c r="AI11" s="173">
        <f t="shared" si="2"/>
        <v>0</v>
      </c>
      <c r="AJ11" s="180">
        <f t="shared" si="3"/>
        <v>0</v>
      </c>
      <c r="AK11" s="173">
        <f t="shared" si="4"/>
        <v>0</v>
      </c>
      <c r="AL11" s="180">
        <f t="shared" si="5"/>
        <v>0</v>
      </c>
      <c r="AM11" s="173">
        <f t="shared" si="6"/>
        <v>0</v>
      </c>
      <c r="AN11" s="180">
        <f t="shared" si="7"/>
        <v>0</v>
      </c>
      <c r="AO11" s="173">
        <f t="shared" si="8"/>
        <v>0</v>
      </c>
      <c r="AP11" s="180">
        <f t="shared" si="9"/>
        <v>0</v>
      </c>
      <c r="AQ11" s="44">
        <f t="shared" si="10"/>
        <v>0</v>
      </c>
      <c r="AR11" s="44">
        <f t="shared" si="11"/>
        <v>0</v>
      </c>
      <c r="AS11" s="44">
        <f t="shared" si="12"/>
        <v>0</v>
      </c>
      <c r="AT11" s="198">
        <f t="shared" si="13"/>
        <v>0</v>
      </c>
      <c r="AU11" s="211">
        <f t="shared" si="14"/>
        <v>0</v>
      </c>
      <c r="AV11" s="44">
        <f t="shared" si="15"/>
        <v>0</v>
      </c>
      <c r="AW11" s="44">
        <f t="shared" si="16"/>
        <v>0</v>
      </c>
      <c r="AX11" s="44">
        <f t="shared" si="17"/>
        <v>0</v>
      </c>
      <c r="AY11" s="198">
        <f t="shared" si="18"/>
        <v>0</v>
      </c>
      <c r="AZ11" s="197">
        <f t="shared" si="19"/>
        <v>0</v>
      </c>
      <c r="BA11" s="198">
        <f t="shared" si="20"/>
        <v>0</v>
      </c>
      <c r="BB11" s="44">
        <f t="shared" si="21"/>
        <v>0</v>
      </c>
      <c r="BC11" s="198">
        <f t="shared" si="22"/>
        <v>0</v>
      </c>
      <c r="BD11" s="211">
        <f t="shared" si="23"/>
        <v>0</v>
      </c>
      <c r="BE11" s="211">
        <f t="shared" si="24"/>
        <v>0</v>
      </c>
    </row>
    <row r="12" spans="2:58" ht="41.4" x14ac:dyDescent="0.3">
      <c r="B12" s="6">
        <f t="shared" si="25"/>
        <v>9</v>
      </c>
      <c r="C12" s="57" t="s">
        <v>119</v>
      </c>
      <c r="D12" s="57" t="s">
        <v>607</v>
      </c>
      <c r="E12" s="11" t="s">
        <v>376</v>
      </c>
      <c r="F12" s="6" t="s">
        <v>386</v>
      </c>
      <c r="G12" s="6" t="s">
        <v>120</v>
      </c>
      <c r="H12" s="6">
        <v>906240550</v>
      </c>
      <c r="I12" s="10">
        <v>44166</v>
      </c>
      <c r="J12" s="10">
        <v>44555</v>
      </c>
      <c r="K12" s="55" t="s">
        <v>121</v>
      </c>
      <c r="L12" s="6" t="s">
        <v>385</v>
      </c>
      <c r="M12" s="20" t="s">
        <v>458</v>
      </c>
      <c r="N12" s="34" t="s">
        <v>590</v>
      </c>
      <c r="O12" s="121" t="s">
        <v>923</v>
      </c>
      <c r="P12" s="20" t="s">
        <v>457</v>
      </c>
      <c r="Q12" s="20">
        <v>9393.3398850000012</v>
      </c>
      <c r="R12" s="20">
        <v>0</v>
      </c>
      <c r="S12" s="20">
        <v>0</v>
      </c>
      <c r="T12" s="20">
        <v>0</v>
      </c>
      <c r="U12" s="17" t="s">
        <v>383</v>
      </c>
      <c r="V12" s="25">
        <v>4500</v>
      </c>
      <c r="W12" s="115">
        <v>5710</v>
      </c>
      <c r="X12" s="34">
        <v>0</v>
      </c>
      <c r="Y12" s="34">
        <v>350</v>
      </c>
      <c r="Z12" s="34">
        <v>257</v>
      </c>
      <c r="AA12" s="34">
        <v>47</v>
      </c>
      <c r="AB12" s="30">
        <v>44000</v>
      </c>
      <c r="AC12" s="34">
        <v>28640</v>
      </c>
      <c r="AD12" s="239"/>
      <c r="AF12" s="177" t="s">
        <v>399</v>
      </c>
      <c r="AG12" s="173">
        <f t="shared" si="0"/>
        <v>13653.577000000001</v>
      </c>
      <c r="AH12" s="180">
        <f t="shared" si="1"/>
        <v>3.9702965983459432E-2</v>
      </c>
      <c r="AI12" s="173">
        <f t="shared" si="2"/>
        <v>7252.5309999999999</v>
      </c>
      <c r="AJ12" s="180">
        <f t="shared" si="3"/>
        <v>4.0755435434221832E-2</v>
      </c>
      <c r="AK12" s="173">
        <f t="shared" si="4"/>
        <v>6401.0460000000003</v>
      </c>
      <c r="AL12" s="180">
        <f t="shared" si="5"/>
        <v>3.8574312058105888E-2</v>
      </c>
      <c r="AM12" s="173">
        <f t="shared" si="6"/>
        <v>0</v>
      </c>
      <c r="AN12" s="180">
        <f t="shared" si="7"/>
        <v>0</v>
      </c>
      <c r="AO12" s="173">
        <f t="shared" si="8"/>
        <v>13653.577000000001</v>
      </c>
      <c r="AP12" s="180">
        <f t="shared" si="9"/>
        <v>4.9009339252548537E-2</v>
      </c>
      <c r="AQ12" s="44">
        <f t="shared" si="10"/>
        <v>210.25</v>
      </c>
      <c r="AR12" s="44">
        <f t="shared" si="11"/>
        <v>45</v>
      </c>
      <c r="AS12" s="44">
        <f t="shared" si="12"/>
        <v>29</v>
      </c>
      <c r="AT12" s="198">
        <f t="shared" si="13"/>
        <v>16</v>
      </c>
      <c r="AU12" s="211">
        <f t="shared" si="14"/>
        <v>255.25</v>
      </c>
      <c r="AV12" s="44">
        <f t="shared" si="15"/>
        <v>165</v>
      </c>
      <c r="AW12" s="44">
        <f t="shared" si="16"/>
        <v>100</v>
      </c>
      <c r="AX12" s="44">
        <f t="shared" si="17"/>
        <v>0</v>
      </c>
      <c r="AY12" s="198">
        <f t="shared" si="18"/>
        <v>0</v>
      </c>
      <c r="AZ12" s="197">
        <f t="shared" si="19"/>
        <v>165</v>
      </c>
      <c r="BA12" s="198">
        <f t="shared" si="20"/>
        <v>100</v>
      </c>
      <c r="BB12" s="44">
        <f t="shared" si="21"/>
        <v>9138.7800000000007</v>
      </c>
      <c r="BC12" s="198">
        <f t="shared" si="22"/>
        <v>9138.7800000000007</v>
      </c>
      <c r="BD12" s="211">
        <f t="shared" si="23"/>
        <v>20201</v>
      </c>
      <c r="BE12" s="211">
        <f t="shared" si="24"/>
        <v>2024507</v>
      </c>
    </row>
    <row r="13" spans="2:58" ht="55.2" x14ac:dyDescent="0.3">
      <c r="B13" s="6">
        <f t="shared" si="25"/>
        <v>10</v>
      </c>
      <c r="C13" s="57" t="s">
        <v>122</v>
      </c>
      <c r="D13" s="57" t="s">
        <v>608</v>
      </c>
      <c r="E13" s="11" t="s">
        <v>376</v>
      </c>
      <c r="F13" s="6" t="s">
        <v>386</v>
      </c>
      <c r="G13" s="6" t="s">
        <v>123</v>
      </c>
      <c r="H13" s="6">
        <v>934137731</v>
      </c>
      <c r="I13" s="10">
        <v>44306</v>
      </c>
      <c r="J13" s="10">
        <v>44682</v>
      </c>
      <c r="K13" s="55" t="s">
        <v>124</v>
      </c>
      <c r="L13" s="6" t="s">
        <v>385</v>
      </c>
      <c r="M13" s="20" t="s">
        <v>455</v>
      </c>
      <c r="N13" s="34" t="s">
        <v>590</v>
      </c>
      <c r="O13" s="121" t="s">
        <v>644</v>
      </c>
      <c r="P13" s="20" t="s">
        <v>456</v>
      </c>
      <c r="Q13" s="20">
        <v>9113.8143200000013</v>
      </c>
      <c r="R13" s="20">
        <v>110</v>
      </c>
      <c r="S13" s="20">
        <v>0</v>
      </c>
      <c r="T13" s="20">
        <v>137</v>
      </c>
      <c r="U13" s="17" t="s">
        <v>383</v>
      </c>
      <c r="V13" s="25">
        <v>800</v>
      </c>
      <c r="W13" s="115">
        <v>1200</v>
      </c>
      <c r="X13" s="34">
        <v>0</v>
      </c>
      <c r="Y13" s="34">
        <v>0</v>
      </c>
      <c r="Z13" s="34">
        <v>17</v>
      </c>
      <c r="AA13" s="34">
        <v>7</v>
      </c>
      <c r="AB13" s="34">
        <v>115000</v>
      </c>
      <c r="AC13" s="30">
        <v>45941</v>
      </c>
      <c r="AD13" s="240"/>
      <c r="AF13" s="3" t="s">
        <v>392</v>
      </c>
      <c r="AG13" s="173">
        <f t="shared" si="0"/>
        <v>14277.279437000001</v>
      </c>
      <c r="AH13" s="180">
        <f t="shared" si="1"/>
        <v>4.151661794001351E-2</v>
      </c>
      <c r="AI13" s="173">
        <f t="shared" si="2"/>
        <v>14277.279437000001</v>
      </c>
      <c r="AJ13" s="180">
        <f t="shared" si="3"/>
        <v>8.0230851859991584E-2</v>
      </c>
      <c r="AK13" s="173">
        <f t="shared" si="4"/>
        <v>0</v>
      </c>
      <c r="AL13" s="180">
        <f t="shared" si="5"/>
        <v>0</v>
      </c>
      <c r="AM13" s="173">
        <f t="shared" si="6"/>
        <v>0</v>
      </c>
      <c r="AN13" s="180">
        <f t="shared" si="7"/>
        <v>0</v>
      </c>
      <c r="AO13" s="173">
        <f t="shared" si="8"/>
        <v>14277.279437000001</v>
      </c>
      <c r="AP13" s="180">
        <f t="shared" si="9"/>
        <v>5.1248111138302306E-2</v>
      </c>
      <c r="AQ13" s="44">
        <f t="shared" si="10"/>
        <v>231</v>
      </c>
      <c r="AR13" s="44">
        <f t="shared" si="11"/>
        <v>20</v>
      </c>
      <c r="AS13" s="44">
        <f t="shared" si="12"/>
        <v>20</v>
      </c>
      <c r="AT13" s="198">
        <f t="shared" si="13"/>
        <v>0</v>
      </c>
      <c r="AU13" s="211">
        <f t="shared" si="14"/>
        <v>251</v>
      </c>
      <c r="AV13" s="44">
        <f t="shared" si="15"/>
        <v>315</v>
      </c>
      <c r="AW13" s="44">
        <f t="shared" si="16"/>
        <v>0</v>
      </c>
      <c r="AX13" s="44">
        <f t="shared" si="17"/>
        <v>20</v>
      </c>
      <c r="AY13" s="198">
        <f t="shared" si="18"/>
        <v>0</v>
      </c>
      <c r="AZ13" s="197">
        <f t="shared" si="19"/>
        <v>335</v>
      </c>
      <c r="BA13" s="198">
        <f t="shared" si="20"/>
        <v>0</v>
      </c>
      <c r="BB13" s="44">
        <f t="shared" si="21"/>
        <v>3712.6099999999997</v>
      </c>
      <c r="BC13" s="198">
        <f t="shared" si="22"/>
        <v>3860.1099999999997</v>
      </c>
      <c r="BD13" s="211">
        <f t="shared" si="23"/>
        <v>453500</v>
      </c>
      <c r="BE13" s="211">
        <f t="shared" si="24"/>
        <v>564022</v>
      </c>
    </row>
    <row r="14" spans="2:58" ht="55.2" x14ac:dyDescent="0.3">
      <c r="B14" s="6">
        <f t="shared" si="25"/>
        <v>11</v>
      </c>
      <c r="C14" s="57" t="s">
        <v>125</v>
      </c>
      <c r="D14" s="57" t="s">
        <v>609</v>
      </c>
      <c r="E14" s="11" t="s">
        <v>376</v>
      </c>
      <c r="F14" s="6" t="s">
        <v>386</v>
      </c>
      <c r="G14" s="6" t="s">
        <v>126</v>
      </c>
      <c r="H14" s="6">
        <v>994350544</v>
      </c>
      <c r="I14" s="10">
        <v>44317</v>
      </c>
      <c r="J14" s="10">
        <v>44531</v>
      </c>
      <c r="K14" s="55" t="s">
        <v>127</v>
      </c>
      <c r="L14" s="6" t="s">
        <v>385</v>
      </c>
      <c r="M14" s="20" t="s">
        <v>455</v>
      </c>
      <c r="N14" s="34" t="s">
        <v>590</v>
      </c>
      <c r="O14" s="121" t="s">
        <v>645</v>
      </c>
      <c r="P14" s="20" t="s">
        <v>456</v>
      </c>
      <c r="Q14" s="20">
        <v>7771.0439000000006</v>
      </c>
      <c r="R14" s="20">
        <v>50</v>
      </c>
      <c r="S14" s="20">
        <v>0</v>
      </c>
      <c r="T14" s="20">
        <v>45</v>
      </c>
      <c r="U14" s="17" t="s">
        <v>382</v>
      </c>
      <c r="V14" s="25">
        <v>1035.8</v>
      </c>
      <c r="W14" s="25">
        <v>1035.8</v>
      </c>
      <c r="X14" s="34">
        <v>0</v>
      </c>
      <c r="Y14" s="34">
        <v>0</v>
      </c>
      <c r="Z14" s="34">
        <v>0</v>
      </c>
      <c r="AA14" s="34">
        <v>0</v>
      </c>
      <c r="AB14" s="30">
        <v>230000</v>
      </c>
      <c r="AC14" s="30">
        <v>14600</v>
      </c>
      <c r="AD14" s="240"/>
      <c r="AF14" s="3" t="s">
        <v>394</v>
      </c>
      <c r="AG14" s="173">
        <f t="shared" si="0"/>
        <v>10392.385373000001</v>
      </c>
      <c r="AH14" s="180">
        <f t="shared" si="1"/>
        <v>3.0219811478795659E-2</v>
      </c>
      <c r="AI14" s="173">
        <f t="shared" si="2"/>
        <v>0</v>
      </c>
      <c r="AJ14" s="180">
        <f t="shared" si="3"/>
        <v>0</v>
      </c>
      <c r="AK14" s="173">
        <f t="shared" si="4"/>
        <v>10392.385373000001</v>
      </c>
      <c r="AL14" s="180">
        <f t="shared" si="5"/>
        <v>6.2627126317510787E-2</v>
      </c>
      <c r="AM14" s="173">
        <f t="shared" si="6"/>
        <v>0</v>
      </c>
      <c r="AN14" s="180">
        <f t="shared" si="7"/>
        <v>0</v>
      </c>
      <c r="AO14" s="173">
        <f t="shared" si="8"/>
        <v>10392.385373000001</v>
      </c>
      <c r="AP14" s="180">
        <f t="shared" si="9"/>
        <v>3.7303333799529617E-2</v>
      </c>
      <c r="AQ14" s="44">
        <f t="shared" si="10"/>
        <v>45</v>
      </c>
      <c r="AR14" s="44">
        <f t="shared" si="11"/>
        <v>0</v>
      </c>
      <c r="AS14" s="44">
        <f t="shared" si="12"/>
        <v>0</v>
      </c>
      <c r="AT14" s="198">
        <f t="shared" si="13"/>
        <v>0</v>
      </c>
      <c r="AU14" s="211">
        <f t="shared" si="14"/>
        <v>45</v>
      </c>
      <c r="AV14" s="44">
        <f t="shared" si="15"/>
        <v>63</v>
      </c>
      <c r="AW14" s="44">
        <f t="shared" si="16"/>
        <v>0</v>
      </c>
      <c r="AX14" s="44">
        <f t="shared" si="17"/>
        <v>0</v>
      </c>
      <c r="AY14" s="198">
        <f t="shared" si="18"/>
        <v>0</v>
      </c>
      <c r="AZ14" s="197">
        <f t="shared" si="19"/>
        <v>63</v>
      </c>
      <c r="BA14" s="198">
        <f t="shared" si="20"/>
        <v>0</v>
      </c>
      <c r="BB14" s="44">
        <f t="shared" si="21"/>
        <v>976</v>
      </c>
      <c r="BC14" s="198">
        <f t="shared" si="22"/>
        <v>1451</v>
      </c>
      <c r="BD14" s="211">
        <f t="shared" si="23"/>
        <v>19037</v>
      </c>
      <c r="BE14" s="211">
        <f t="shared" si="24"/>
        <v>878591</v>
      </c>
    </row>
    <row r="15" spans="2:58" ht="41.4" x14ac:dyDescent="0.3">
      <c r="B15" s="6">
        <f t="shared" si="25"/>
        <v>12</v>
      </c>
      <c r="C15" s="57" t="s">
        <v>128</v>
      </c>
      <c r="D15" s="57" t="s">
        <v>610</v>
      </c>
      <c r="E15" s="11" t="s">
        <v>376</v>
      </c>
      <c r="F15" s="6" t="s">
        <v>386</v>
      </c>
      <c r="G15" s="6" t="s">
        <v>129</v>
      </c>
      <c r="H15" s="6">
        <v>979924664</v>
      </c>
      <c r="I15" s="10">
        <v>44166</v>
      </c>
      <c r="J15" s="10">
        <v>44197</v>
      </c>
      <c r="K15" s="55" t="s">
        <v>130</v>
      </c>
      <c r="L15" s="6" t="s">
        <v>385</v>
      </c>
      <c r="M15" s="20" t="s">
        <v>455</v>
      </c>
      <c r="N15" s="34" t="s">
        <v>590</v>
      </c>
      <c r="O15" s="121" t="s">
        <v>647</v>
      </c>
      <c r="P15" s="20" t="s">
        <v>456</v>
      </c>
      <c r="Q15" s="20">
        <v>6349.7534999999998</v>
      </c>
      <c r="R15" s="20">
        <v>50</v>
      </c>
      <c r="S15" s="20">
        <v>0</v>
      </c>
      <c r="T15" s="20">
        <v>190</v>
      </c>
      <c r="U15" s="17" t="s">
        <v>383</v>
      </c>
      <c r="V15" s="25">
        <v>525</v>
      </c>
      <c r="W15" s="115">
        <v>1200</v>
      </c>
      <c r="X15" s="34">
        <v>50</v>
      </c>
      <c r="Y15" s="34">
        <v>0</v>
      </c>
      <c r="Z15" s="34">
        <v>6</v>
      </c>
      <c r="AA15" s="34">
        <v>3</v>
      </c>
      <c r="AB15" s="30">
        <v>190000</v>
      </c>
      <c r="AC15" s="30">
        <v>8448</v>
      </c>
      <c r="AD15" s="240"/>
      <c r="AF15" s="3" t="s">
        <v>393</v>
      </c>
      <c r="AG15" s="173">
        <f t="shared" si="0"/>
        <v>37533.836858499999</v>
      </c>
      <c r="AH15" s="180">
        <f t="shared" si="1"/>
        <v>0.10914390038754981</v>
      </c>
      <c r="AI15" s="173">
        <f t="shared" si="2"/>
        <v>37533.836858499999</v>
      </c>
      <c r="AJ15" s="180">
        <f t="shared" si="3"/>
        <v>0.21092055513933169</v>
      </c>
      <c r="AK15" s="173">
        <f t="shared" si="4"/>
        <v>0</v>
      </c>
      <c r="AL15" s="180">
        <f t="shared" si="5"/>
        <v>0</v>
      </c>
      <c r="AM15" s="173">
        <f t="shared" si="6"/>
        <v>0</v>
      </c>
      <c r="AN15" s="180">
        <f t="shared" si="7"/>
        <v>0</v>
      </c>
      <c r="AO15" s="173">
        <f t="shared" si="8"/>
        <v>37533.836858499999</v>
      </c>
      <c r="AP15" s="180">
        <f t="shared" si="9"/>
        <v>0.13472722525738398</v>
      </c>
      <c r="AQ15" s="44">
        <f t="shared" si="10"/>
        <v>170</v>
      </c>
      <c r="AR15" s="44">
        <f t="shared" si="11"/>
        <v>107</v>
      </c>
      <c r="AS15" s="44">
        <f t="shared" si="12"/>
        <v>66</v>
      </c>
      <c r="AT15" s="198">
        <f t="shared" si="13"/>
        <v>41</v>
      </c>
      <c r="AU15" s="211">
        <f t="shared" si="14"/>
        <v>277</v>
      </c>
      <c r="AV15" s="44">
        <f t="shared" si="15"/>
        <v>240</v>
      </c>
      <c r="AW15" s="44">
        <f t="shared" si="16"/>
        <v>0</v>
      </c>
      <c r="AX15" s="44">
        <f t="shared" si="17"/>
        <v>120</v>
      </c>
      <c r="AY15" s="198">
        <f t="shared" si="18"/>
        <v>0</v>
      </c>
      <c r="AZ15" s="197">
        <f t="shared" si="19"/>
        <v>360</v>
      </c>
      <c r="BA15" s="198">
        <f t="shared" si="20"/>
        <v>0</v>
      </c>
      <c r="BB15" s="44">
        <f t="shared" si="21"/>
        <v>4590.3600000000006</v>
      </c>
      <c r="BC15" s="198">
        <f t="shared" si="22"/>
        <v>6444.7599999999993</v>
      </c>
      <c r="BD15" s="211">
        <f t="shared" si="23"/>
        <v>37052</v>
      </c>
      <c r="BE15" s="211">
        <f t="shared" si="24"/>
        <v>560754</v>
      </c>
    </row>
    <row r="16" spans="2:58" ht="41.4" x14ac:dyDescent="0.3">
      <c r="B16" s="6">
        <f t="shared" si="25"/>
        <v>13</v>
      </c>
      <c r="C16" s="57" t="s">
        <v>131</v>
      </c>
      <c r="D16" s="57" t="s">
        <v>611</v>
      </c>
      <c r="E16" s="11" t="s">
        <v>376</v>
      </c>
      <c r="F16" s="6" t="s">
        <v>386</v>
      </c>
      <c r="G16" s="6" t="s">
        <v>132</v>
      </c>
      <c r="H16" s="6">
        <v>914819888</v>
      </c>
      <c r="I16" s="10">
        <v>43952</v>
      </c>
      <c r="J16" s="10">
        <v>44378</v>
      </c>
      <c r="K16" s="55" t="s">
        <v>133</v>
      </c>
      <c r="L16" s="6" t="s">
        <v>385</v>
      </c>
      <c r="M16" s="20" t="s">
        <v>455</v>
      </c>
      <c r="N16" s="34" t="s">
        <v>593</v>
      </c>
      <c r="O16" s="121" t="s">
        <v>646</v>
      </c>
      <c r="P16" s="20" t="s">
        <v>456</v>
      </c>
      <c r="Q16" s="20">
        <v>7054.5</v>
      </c>
      <c r="R16" s="20">
        <v>200</v>
      </c>
      <c r="S16" s="20">
        <v>0</v>
      </c>
      <c r="T16" s="20">
        <v>190</v>
      </c>
      <c r="U16" s="17" t="s">
        <v>383</v>
      </c>
      <c r="V16" s="25">
        <v>1600</v>
      </c>
      <c r="W16" s="115">
        <v>2500</v>
      </c>
      <c r="X16" s="34">
        <v>145</v>
      </c>
      <c r="Y16" s="34">
        <v>0</v>
      </c>
      <c r="Z16" s="34">
        <v>8</v>
      </c>
      <c r="AA16" s="34">
        <v>12</v>
      </c>
      <c r="AB16" s="30">
        <v>255000</v>
      </c>
      <c r="AC16" s="34">
        <v>8280</v>
      </c>
      <c r="AD16" s="239"/>
      <c r="AF16" s="3" t="s">
        <v>395</v>
      </c>
      <c r="AG16" s="173">
        <f t="shared" si="0"/>
        <v>0</v>
      </c>
      <c r="AH16" s="180">
        <f t="shared" si="1"/>
        <v>0</v>
      </c>
      <c r="AI16" s="173">
        <f t="shared" si="2"/>
        <v>0</v>
      </c>
      <c r="AJ16" s="180">
        <f t="shared" si="3"/>
        <v>0</v>
      </c>
      <c r="AK16" s="173">
        <f t="shared" si="4"/>
        <v>0</v>
      </c>
      <c r="AL16" s="180">
        <f t="shared" si="5"/>
        <v>0</v>
      </c>
      <c r="AM16" s="173">
        <f t="shared" si="6"/>
        <v>0</v>
      </c>
      <c r="AN16" s="180">
        <f t="shared" si="7"/>
        <v>0</v>
      </c>
      <c r="AO16" s="173">
        <f t="shared" si="8"/>
        <v>0</v>
      </c>
      <c r="AP16" s="180">
        <f t="shared" si="9"/>
        <v>0</v>
      </c>
      <c r="AQ16" s="44">
        <f t="shared" si="10"/>
        <v>0</v>
      </c>
      <c r="AR16" s="44">
        <f t="shared" si="11"/>
        <v>0</v>
      </c>
      <c r="AS16" s="44">
        <f t="shared" si="12"/>
        <v>0</v>
      </c>
      <c r="AT16" s="198">
        <f t="shared" si="13"/>
        <v>0</v>
      </c>
      <c r="AU16" s="211">
        <f t="shared" si="14"/>
        <v>0</v>
      </c>
      <c r="AV16" s="44">
        <f t="shared" si="15"/>
        <v>0</v>
      </c>
      <c r="AW16" s="44">
        <f t="shared" si="16"/>
        <v>0</v>
      </c>
      <c r="AX16" s="44">
        <f t="shared" si="17"/>
        <v>0</v>
      </c>
      <c r="AY16" s="198">
        <f t="shared" si="18"/>
        <v>0</v>
      </c>
      <c r="AZ16" s="197">
        <f t="shared" si="19"/>
        <v>0</v>
      </c>
      <c r="BA16" s="198">
        <f t="shared" si="20"/>
        <v>0</v>
      </c>
      <c r="BB16" s="44">
        <f t="shared" si="21"/>
        <v>0</v>
      </c>
      <c r="BC16" s="198">
        <f t="shared" si="22"/>
        <v>0</v>
      </c>
      <c r="BD16" s="211">
        <f t="shared" si="23"/>
        <v>0</v>
      </c>
      <c r="BE16" s="211">
        <f t="shared" si="24"/>
        <v>0</v>
      </c>
    </row>
    <row r="17" spans="1:58" ht="41.4" x14ac:dyDescent="0.3">
      <c r="B17" s="6">
        <f t="shared" si="25"/>
        <v>14</v>
      </c>
      <c r="C17" s="57" t="s">
        <v>134</v>
      </c>
      <c r="D17" s="57" t="s">
        <v>612</v>
      </c>
      <c r="E17" s="11" t="s">
        <v>376</v>
      </c>
      <c r="F17" s="6" t="s">
        <v>386</v>
      </c>
      <c r="G17" s="6" t="s">
        <v>135</v>
      </c>
      <c r="H17" s="6">
        <v>978370036</v>
      </c>
      <c r="I17" s="10">
        <v>43952</v>
      </c>
      <c r="J17" s="10">
        <v>44499</v>
      </c>
      <c r="K17" s="55" t="s">
        <v>121</v>
      </c>
      <c r="L17" s="6" t="s">
        <v>385</v>
      </c>
      <c r="M17" s="20" t="s">
        <v>455</v>
      </c>
      <c r="N17" s="34" t="s">
        <v>593</v>
      </c>
      <c r="O17" s="121" t="s">
        <v>648</v>
      </c>
      <c r="P17" s="20" t="s">
        <v>457</v>
      </c>
      <c r="Q17" s="20">
        <v>8441.5409999999974</v>
      </c>
      <c r="R17" s="20">
        <v>50</v>
      </c>
      <c r="S17" s="20">
        <v>0</v>
      </c>
      <c r="T17" s="20">
        <v>80</v>
      </c>
      <c r="U17" s="17" t="s">
        <v>383</v>
      </c>
      <c r="V17" s="25">
        <v>3200</v>
      </c>
      <c r="W17" s="115">
        <v>5433</v>
      </c>
      <c r="X17" s="34">
        <v>100</v>
      </c>
      <c r="Y17" s="34">
        <v>0</v>
      </c>
      <c r="Z17" s="34">
        <v>54</v>
      </c>
      <c r="AA17" s="34">
        <v>6</v>
      </c>
      <c r="AB17" s="34">
        <v>3253528</v>
      </c>
      <c r="AC17" s="30">
        <v>7600</v>
      </c>
      <c r="AD17" s="240"/>
      <c r="AF17" s="3" t="s">
        <v>396</v>
      </c>
      <c r="AG17" s="173">
        <f t="shared" si="0"/>
        <v>105791.75882578999</v>
      </c>
      <c r="AH17" s="180">
        <f t="shared" si="1"/>
        <v>0.30762975899946837</v>
      </c>
      <c r="AI17" s="173">
        <f t="shared" si="2"/>
        <v>55063.938800000004</v>
      </c>
      <c r="AJ17" s="180">
        <f t="shared" si="3"/>
        <v>0.30943057017161907</v>
      </c>
      <c r="AK17" s="173">
        <f t="shared" si="4"/>
        <v>50727.820025790003</v>
      </c>
      <c r="AL17" s="180">
        <f t="shared" si="5"/>
        <v>0.30569859358958779</v>
      </c>
      <c r="AM17" s="173">
        <f t="shared" si="6"/>
        <v>33475.052800000005</v>
      </c>
      <c r="AN17" s="180">
        <f t="shared" si="7"/>
        <v>0.51262072222817834</v>
      </c>
      <c r="AO17" s="173">
        <f t="shared" si="8"/>
        <v>72316.706025789987</v>
      </c>
      <c r="AP17" s="180">
        <f t="shared" si="9"/>
        <v>0.25957988732511356</v>
      </c>
      <c r="AQ17" s="44">
        <f t="shared" si="10"/>
        <v>390</v>
      </c>
      <c r="AR17" s="44">
        <f t="shared" si="11"/>
        <v>565</v>
      </c>
      <c r="AS17" s="44">
        <f t="shared" si="12"/>
        <v>494</v>
      </c>
      <c r="AT17" s="198">
        <f t="shared" si="13"/>
        <v>71</v>
      </c>
      <c r="AU17" s="211">
        <f t="shared" si="14"/>
        <v>955</v>
      </c>
      <c r="AV17" s="44">
        <f t="shared" si="15"/>
        <v>265</v>
      </c>
      <c r="AW17" s="44">
        <f t="shared" si="16"/>
        <v>0</v>
      </c>
      <c r="AX17" s="44">
        <f t="shared" si="17"/>
        <v>280</v>
      </c>
      <c r="AY17" s="198">
        <f t="shared" si="18"/>
        <v>300</v>
      </c>
      <c r="AZ17" s="197">
        <f t="shared" si="19"/>
        <v>545</v>
      </c>
      <c r="BA17" s="198">
        <f t="shared" si="20"/>
        <v>300</v>
      </c>
      <c r="BB17" s="44">
        <f t="shared" si="21"/>
        <v>5981.16</v>
      </c>
      <c r="BC17" s="198">
        <f t="shared" si="22"/>
        <v>20076.329999999998</v>
      </c>
      <c r="BD17" s="211">
        <f t="shared" si="23"/>
        <v>365953</v>
      </c>
      <c r="BE17" s="211">
        <f>+SUMIFS(AB:AB,F:F,AF17)-AB4-AB5-AB7-AB8-AB9-AB10</f>
        <v>3090000</v>
      </c>
      <c r="BF17" s="38" t="s">
        <v>946</v>
      </c>
    </row>
    <row r="18" spans="1:58" s="65" customFormat="1" ht="96.6" x14ac:dyDescent="0.3">
      <c r="B18" s="11">
        <f t="shared" si="25"/>
        <v>15</v>
      </c>
      <c r="C18" s="17" t="s">
        <v>155</v>
      </c>
      <c r="D18" s="17" t="s">
        <v>613</v>
      </c>
      <c r="E18" s="11" t="s">
        <v>376</v>
      </c>
      <c r="F18" s="11" t="s">
        <v>399</v>
      </c>
      <c r="G18" s="11" t="s">
        <v>148</v>
      </c>
      <c r="H18" s="35" t="s">
        <v>149</v>
      </c>
      <c r="I18" s="29" t="s">
        <v>156</v>
      </c>
      <c r="J18" s="29">
        <v>44528</v>
      </c>
      <c r="K18" s="17" t="s">
        <v>157</v>
      </c>
      <c r="L18" s="6" t="s">
        <v>385</v>
      </c>
      <c r="M18" s="20" t="s">
        <v>455</v>
      </c>
      <c r="N18" s="34" t="s">
        <v>590</v>
      </c>
      <c r="O18" s="137" t="s">
        <v>649</v>
      </c>
      <c r="P18" s="138" t="s">
        <v>456</v>
      </c>
      <c r="Q18" s="20">
        <v>7252.5309999999999</v>
      </c>
      <c r="R18" s="34">
        <v>45</v>
      </c>
      <c r="S18" s="34">
        <v>100</v>
      </c>
      <c r="T18" s="34">
        <f>79+2+43.25+2</f>
        <v>126.25</v>
      </c>
      <c r="U18" s="17" t="s">
        <v>382</v>
      </c>
      <c r="V18" s="115">
        <v>5111</v>
      </c>
      <c r="W18" s="115">
        <v>5111</v>
      </c>
      <c r="X18" s="34">
        <v>0</v>
      </c>
      <c r="Y18" s="34">
        <v>0</v>
      </c>
      <c r="Z18" s="34">
        <v>29</v>
      </c>
      <c r="AA18" s="34">
        <v>16</v>
      </c>
      <c r="AB18" s="34">
        <v>21839</v>
      </c>
      <c r="AC18" s="34">
        <f>2329+2696+2634+1987</f>
        <v>9646</v>
      </c>
      <c r="AD18" s="239"/>
      <c r="AG18" s="229">
        <f>+SUM(AG4:AG17)</f>
        <v>343893.12389628997</v>
      </c>
      <c r="AH18" s="226"/>
      <c r="AI18" s="229">
        <f>+SUM(AI4:AI17)</f>
        <v>177952.48468649999</v>
      </c>
      <c r="AJ18" s="226"/>
      <c r="AK18" s="229">
        <f>+SUM(AK4:AK17)</f>
        <v>165940.63920978998</v>
      </c>
      <c r="AL18" s="226"/>
      <c r="AM18" s="229">
        <f>+SUM(AM4:AM17)</f>
        <v>65301.793994000007</v>
      </c>
      <c r="AN18" s="226"/>
      <c r="AO18" s="229">
        <f>+SUM(AO4:AO17)</f>
        <v>278591.32990229002</v>
      </c>
      <c r="AP18" s="226"/>
      <c r="AQ18" s="230">
        <f>+SUM(AQ4:AQ17)</f>
        <v>3046.5</v>
      </c>
      <c r="AR18" s="230">
        <f t="shared" ref="AR18:BE18" si="26">+SUM(AR4:AR17)</f>
        <v>1965.25</v>
      </c>
      <c r="AS18" s="230">
        <f t="shared" si="26"/>
        <v>1665</v>
      </c>
      <c r="AT18" s="230">
        <f t="shared" si="26"/>
        <v>300.25</v>
      </c>
      <c r="AU18" s="230">
        <f t="shared" si="26"/>
        <v>5011.75</v>
      </c>
      <c r="AV18" s="230">
        <f t="shared" si="26"/>
        <v>3028</v>
      </c>
      <c r="AW18" s="230">
        <f t="shared" si="26"/>
        <v>260</v>
      </c>
      <c r="AX18" s="230">
        <f t="shared" si="26"/>
        <v>1207</v>
      </c>
      <c r="AY18" s="230">
        <f t="shared" si="26"/>
        <v>900</v>
      </c>
      <c r="AZ18" s="230">
        <f t="shared" si="26"/>
        <v>4235</v>
      </c>
      <c r="BA18" s="230">
        <f t="shared" si="26"/>
        <v>1160</v>
      </c>
      <c r="BB18" s="230">
        <f t="shared" si="26"/>
        <v>144683.82999999999</v>
      </c>
      <c r="BC18" s="230">
        <f t="shared" si="26"/>
        <v>175444.96999999997</v>
      </c>
      <c r="BD18" s="230">
        <f t="shared" si="26"/>
        <v>1534206</v>
      </c>
      <c r="BE18" s="230">
        <f t="shared" si="26"/>
        <v>14972453</v>
      </c>
    </row>
    <row r="19" spans="1:58" s="65" customFormat="1" ht="41.4" x14ac:dyDescent="0.3">
      <c r="B19" s="11">
        <f t="shared" si="25"/>
        <v>16</v>
      </c>
      <c r="C19" s="17" t="s">
        <v>367</v>
      </c>
      <c r="D19" s="17" t="s">
        <v>614</v>
      </c>
      <c r="E19" s="11" t="s">
        <v>376</v>
      </c>
      <c r="F19" s="11" t="s">
        <v>399</v>
      </c>
      <c r="G19" s="11" t="s">
        <v>148</v>
      </c>
      <c r="H19" s="35" t="s">
        <v>149</v>
      </c>
      <c r="I19" s="29" t="s">
        <v>158</v>
      </c>
      <c r="J19" s="29">
        <v>44525</v>
      </c>
      <c r="K19" s="17" t="s">
        <v>159</v>
      </c>
      <c r="L19" s="6" t="s">
        <v>385</v>
      </c>
      <c r="M19" s="20" t="s">
        <v>455</v>
      </c>
      <c r="N19" s="34" t="s">
        <v>594</v>
      </c>
      <c r="O19" s="121" t="s">
        <v>650</v>
      </c>
      <c r="P19" s="20" t="s">
        <v>457</v>
      </c>
      <c r="Q19" s="20">
        <v>6401.0460000000003</v>
      </c>
      <c r="R19" s="34">
        <v>120</v>
      </c>
      <c r="S19" s="34">
        <v>0</v>
      </c>
      <c r="T19" s="34">
        <v>84</v>
      </c>
      <c r="U19" s="17" t="s">
        <v>382</v>
      </c>
      <c r="V19" s="115">
        <v>4027.78</v>
      </c>
      <c r="W19" s="115">
        <v>4027.78</v>
      </c>
      <c r="X19" s="34">
        <v>0</v>
      </c>
      <c r="Y19" s="34">
        <v>0</v>
      </c>
      <c r="Z19" s="34">
        <v>0</v>
      </c>
      <c r="AA19" s="34">
        <v>0</v>
      </c>
      <c r="AB19" s="34">
        <v>2002668</v>
      </c>
      <c r="AC19" s="34">
        <v>10555</v>
      </c>
      <c r="AD19" s="239"/>
      <c r="AG19" s="232" t="b">
        <f>+AG18=Q40</f>
        <v>1</v>
      </c>
      <c r="AH19" s="226"/>
      <c r="AI19" s="214"/>
      <c r="AJ19" s="226"/>
      <c r="AK19" s="232" t="b">
        <f>+AI18+AK18=AG18</f>
        <v>1</v>
      </c>
      <c r="AL19" s="226"/>
      <c r="AM19" s="214"/>
      <c r="AN19" s="226"/>
      <c r="AO19" s="232" t="b">
        <f>+AM18+AO18=AG18</f>
        <v>1</v>
      </c>
      <c r="AP19" s="226"/>
      <c r="AQ19" s="232" t="b">
        <f>+AQ18=T40</f>
        <v>1</v>
      </c>
      <c r="AR19" s="232" t="b">
        <f>+AT18+AS18=AR18</f>
        <v>1</v>
      </c>
      <c r="AS19" s="232" t="b">
        <f>+AS18=Z40</f>
        <v>1</v>
      </c>
      <c r="AT19" s="232" t="b">
        <f>+AT18=AA40</f>
        <v>1</v>
      </c>
      <c r="AU19" s="232" t="b">
        <f>+AU18=AQ18+AR18</f>
        <v>1</v>
      </c>
      <c r="AV19" s="232" t="b">
        <f>+AV18=R40</f>
        <v>1</v>
      </c>
      <c r="AW19" s="232" t="b">
        <f>+AW18=S40</f>
        <v>1</v>
      </c>
      <c r="AX19" s="232" t="b">
        <f>+AX18=X40</f>
        <v>1</v>
      </c>
      <c r="AY19" s="232" t="b">
        <f>+AY18=Y40</f>
        <v>1</v>
      </c>
      <c r="AZ19" s="232" t="b">
        <f>+AZ18=AV18+AX18</f>
        <v>1</v>
      </c>
      <c r="BA19" s="232" t="b">
        <f>+BA18=AW18+AY18</f>
        <v>1</v>
      </c>
      <c r="BB19" s="232" t="b">
        <f>+BB18=V40</f>
        <v>1</v>
      </c>
      <c r="BC19" s="232" t="b">
        <f>+BC18=W40</f>
        <v>1</v>
      </c>
      <c r="BD19" s="232" t="b">
        <f>+BD18=AC40</f>
        <v>1</v>
      </c>
      <c r="BE19" s="232" t="b">
        <f>+BE18=AB40</f>
        <v>1</v>
      </c>
    </row>
    <row r="20" spans="1:58" ht="55.2" x14ac:dyDescent="0.3">
      <c r="B20" s="11">
        <f t="shared" si="25"/>
        <v>17</v>
      </c>
      <c r="C20" s="17" t="s">
        <v>366</v>
      </c>
      <c r="D20" s="17" t="s">
        <v>615</v>
      </c>
      <c r="E20" s="11" t="s">
        <v>376</v>
      </c>
      <c r="F20" s="11" t="s">
        <v>392</v>
      </c>
      <c r="G20" s="11" t="s">
        <v>172</v>
      </c>
      <c r="H20" s="6" t="s">
        <v>173</v>
      </c>
      <c r="I20" s="10">
        <v>44197</v>
      </c>
      <c r="J20" s="10">
        <v>44645</v>
      </c>
      <c r="K20" s="9" t="s">
        <v>174</v>
      </c>
      <c r="L20" s="6" t="s">
        <v>385</v>
      </c>
      <c r="M20" s="20" t="s">
        <v>455</v>
      </c>
      <c r="N20" s="34" t="s">
        <v>590</v>
      </c>
      <c r="O20" s="121" t="s">
        <v>651</v>
      </c>
      <c r="P20" s="20" t="s">
        <v>456</v>
      </c>
      <c r="Q20" s="20">
        <v>7169.8076340000007</v>
      </c>
      <c r="R20" s="20">
        <v>175</v>
      </c>
      <c r="S20" s="13"/>
      <c r="T20" s="13">
        <v>147</v>
      </c>
      <c r="U20" s="17" t="s">
        <v>383</v>
      </c>
      <c r="V20" s="14">
        <v>2009.1</v>
      </c>
      <c r="W20" s="14">
        <v>2156.6</v>
      </c>
      <c r="X20" s="13">
        <v>0</v>
      </c>
      <c r="Y20" s="13">
        <v>0</v>
      </c>
      <c r="Z20" s="13">
        <v>0</v>
      </c>
      <c r="AA20" s="13">
        <v>0</v>
      </c>
      <c r="AB20" s="43">
        <v>291179</v>
      </c>
      <c r="AC20" s="43">
        <v>282200</v>
      </c>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row>
    <row r="21" spans="1:58" ht="69" x14ac:dyDescent="0.3">
      <c r="B21" s="11">
        <f t="shared" si="25"/>
        <v>18</v>
      </c>
      <c r="C21" s="17" t="s">
        <v>178</v>
      </c>
      <c r="D21" s="17" t="s">
        <v>616</v>
      </c>
      <c r="E21" s="11" t="s">
        <v>376</v>
      </c>
      <c r="F21" s="11" t="s">
        <v>392</v>
      </c>
      <c r="G21" s="11" t="s">
        <v>169</v>
      </c>
      <c r="H21" s="70" t="s">
        <v>170</v>
      </c>
      <c r="I21" s="10" t="s">
        <v>175</v>
      </c>
      <c r="J21" s="10" t="s">
        <v>176</v>
      </c>
      <c r="K21" s="9" t="s">
        <v>177</v>
      </c>
      <c r="L21" s="6" t="s">
        <v>385</v>
      </c>
      <c r="M21" s="20" t="s">
        <v>455</v>
      </c>
      <c r="N21" s="34" t="s">
        <v>590</v>
      </c>
      <c r="O21" s="121" t="s">
        <v>944</v>
      </c>
      <c r="P21" s="20" t="s">
        <v>456</v>
      </c>
      <c r="Q21" s="20">
        <v>7107.4718029999995</v>
      </c>
      <c r="R21" s="125">
        <v>140</v>
      </c>
      <c r="S21" s="125"/>
      <c r="T21" s="125">
        <v>84</v>
      </c>
      <c r="U21" s="17" t="s">
        <v>382</v>
      </c>
      <c r="V21" s="126">
        <v>1703.51</v>
      </c>
      <c r="W21" s="126">
        <v>1703.51</v>
      </c>
      <c r="X21" s="125">
        <v>20</v>
      </c>
      <c r="Y21" s="125">
        <v>0</v>
      </c>
      <c r="Z21" s="125">
        <v>20</v>
      </c>
      <c r="AA21" s="125">
        <v>0</v>
      </c>
      <c r="AB21" s="73">
        <v>272843</v>
      </c>
      <c r="AC21" s="73">
        <v>171300</v>
      </c>
      <c r="AD21" s="241"/>
      <c r="AE21" s="197"/>
      <c r="AF21" s="197"/>
      <c r="AG21" s="197"/>
      <c r="AH21" s="197"/>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row>
    <row r="22" spans="1:58" ht="41.4" x14ac:dyDescent="0.3">
      <c r="B22" s="11">
        <f t="shared" si="25"/>
        <v>19</v>
      </c>
      <c r="C22" s="75" t="s">
        <v>198</v>
      </c>
      <c r="D22" s="75" t="s">
        <v>617</v>
      </c>
      <c r="E22" s="11" t="s">
        <v>376</v>
      </c>
      <c r="F22" s="11" t="s">
        <v>388</v>
      </c>
      <c r="G22" s="11" t="s">
        <v>190</v>
      </c>
      <c r="H22" s="6" t="s">
        <v>191</v>
      </c>
      <c r="I22" s="10" t="s">
        <v>195</v>
      </c>
      <c r="J22" s="10" t="s">
        <v>196</v>
      </c>
      <c r="K22" s="17" t="s">
        <v>197</v>
      </c>
      <c r="L22" s="6" t="s">
        <v>385</v>
      </c>
      <c r="M22" s="20" t="s">
        <v>455</v>
      </c>
      <c r="N22" s="34" t="s">
        <v>590</v>
      </c>
      <c r="O22" s="121" t="s">
        <v>638</v>
      </c>
      <c r="P22" s="20" t="s">
        <v>456</v>
      </c>
      <c r="Q22" s="20">
        <v>3557.8220000000001</v>
      </c>
      <c r="R22" s="13">
        <v>50</v>
      </c>
      <c r="S22" s="13">
        <v>150</v>
      </c>
      <c r="T22" s="13">
        <v>159</v>
      </c>
      <c r="U22" s="17" t="s">
        <v>383</v>
      </c>
      <c r="V22" s="14">
        <v>11685</v>
      </c>
      <c r="W22" s="14">
        <v>14046</v>
      </c>
      <c r="X22" s="43">
        <v>0</v>
      </c>
      <c r="Y22" s="43">
        <v>0</v>
      </c>
      <c r="Z22" s="43">
        <v>0</v>
      </c>
      <c r="AA22" s="43">
        <v>0</v>
      </c>
      <c r="AB22" s="43">
        <v>171334</v>
      </c>
      <c r="AC22" s="41">
        <v>48811</v>
      </c>
      <c r="AD22" s="242"/>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row>
    <row r="23" spans="1:58" ht="41.4" x14ac:dyDescent="0.3">
      <c r="B23" s="11">
        <f t="shared" si="25"/>
        <v>20</v>
      </c>
      <c r="C23" s="17" t="s">
        <v>365</v>
      </c>
      <c r="D23" s="17" t="s">
        <v>618</v>
      </c>
      <c r="E23" s="11" t="s">
        <v>376</v>
      </c>
      <c r="F23" s="11" t="s">
        <v>391</v>
      </c>
      <c r="G23" s="11" t="s">
        <v>234</v>
      </c>
      <c r="H23" s="11" t="s">
        <v>235</v>
      </c>
      <c r="I23" s="29">
        <v>43521</v>
      </c>
      <c r="J23" s="29">
        <v>44530</v>
      </c>
      <c r="K23" s="17" t="s">
        <v>236</v>
      </c>
      <c r="L23" s="6" t="s">
        <v>385</v>
      </c>
      <c r="M23" s="20" t="s">
        <v>455</v>
      </c>
      <c r="N23" s="34" t="s">
        <v>595</v>
      </c>
      <c r="O23" s="121" t="s">
        <v>652</v>
      </c>
      <c r="P23" s="20" t="s">
        <v>457</v>
      </c>
      <c r="Q23" s="20">
        <v>14260.615000000002</v>
      </c>
      <c r="R23" s="30">
        <v>300</v>
      </c>
      <c r="S23" s="30">
        <v>0</v>
      </c>
      <c r="T23" s="34">
        <v>228</v>
      </c>
      <c r="U23" s="17" t="s">
        <v>383</v>
      </c>
      <c r="V23" s="31">
        <v>16846</v>
      </c>
      <c r="W23" s="31">
        <v>17926</v>
      </c>
      <c r="X23" s="30">
        <v>0</v>
      </c>
      <c r="Y23" s="30">
        <v>0</v>
      </c>
      <c r="Z23" s="34">
        <v>52</v>
      </c>
      <c r="AA23" s="34">
        <v>0</v>
      </c>
      <c r="AB23" s="400">
        <v>672000</v>
      </c>
      <c r="AC23" s="30">
        <v>97938</v>
      </c>
      <c r="AD23" s="240"/>
      <c r="AE23" s="197"/>
      <c r="AF23" s="197"/>
      <c r="AG23" s="197"/>
      <c r="AH23" s="197"/>
      <c r="AI23" s="197"/>
      <c r="AJ23" s="197"/>
      <c r="AK23" s="197"/>
      <c r="AL23" s="197"/>
      <c r="AM23" s="197"/>
      <c r="AN23" s="197"/>
      <c r="AO23" s="197"/>
      <c r="AP23" s="197"/>
      <c r="AQ23" s="197"/>
      <c r="AR23" s="197"/>
      <c r="AS23" s="197"/>
      <c r="AT23" s="197"/>
      <c r="AU23" s="197"/>
      <c r="AV23" s="197"/>
      <c r="AW23" s="197"/>
      <c r="AX23" s="197"/>
      <c r="AY23" s="197"/>
      <c r="AZ23" s="197"/>
      <c r="BA23" s="197"/>
      <c r="BB23" s="197"/>
      <c r="BC23" s="197"/>
      <c r="BD23" s="197"/>
      <c r="BE23" s="197"/>
    </row>
    <row r="24" spans="1:58" ht="27.6" x14ac:dyDescent="0.3">
      <c r="A24" s="16"/>
      <c r="B24" s="11">
        <f t="shared" si="25"/>
        <v>21</v>
      </c>
      <c r="C24" s="17" t="s">
        <v>364</v>
      </c>
      <c r="D24" s="17" t="s">
        <v>619</v>
      </c>
      <c r="E24" s="11" t="s">
        <v>376</v>
      </c>
      <c r="F24" s="11" t="s">
        <v>391</v>
      </c>
      <c r="G24" s="11" t="s">
        <v>237</v>
      </c>
      <c r="H24" s="11" t="s">
        <v>238</v>
      </c>
      <c r="I24" s="29">
        <v>43538</v>
      </c>
      <c r="J24" s="29">
        <v>44530</v>
      </c>
      <c r="K24" s="17" t="s">
        <v>239</v>
      </c>
      <c r="L24" s="6" t="s">
        <v>385</v>
      </c>
      <c r="M24" s="20" t="s">
        <v>455</v>
      </c>
      <c r="N24" s="34" t="s">
        <v>596</v>
      </c>
      <c r="O24" s="121" t="s">
        <v>653</v>
      </c>
      <c r="P24" s="20" t="s">
        <v>457</v>
      </c>
      <c r="Q24" s="20">
        <v>12214.096</v>
      </c>
      <c r="R24" s="30">
        <v>230</v>
      </c>
      <c r="S24" s="30">
        <v>0</v>
      </c>
      <c r="T24" s="34">
        <v>210</v>
      </c>
      <c r="U24" s="17" t="s">
        <v>382</v>
      </c>
      <c r="V24" s="115">
        <v>14258</v>
      </c>
      <c r="W24" s="115">
        <v>14258</v>
      </c>
      <c r="X24" s="30">
        <v>0</v>
      </c>
      <c r="Y24" s="30">
        <v>0</v>
      </c>
      <c r="Z24" s="34">
        <v>0</v>
      </c>
      <c r="AA24" s="34">
        <v>0</v>
      </c>
      <c r="AB24" s="400">
        <v>672000</v>
      </c>
      <c r="AC24" s="30">
        <v>79861</v>
      </c>
      <c r="AD24" s="240"/>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row>
    <row r="25" spans="1:58" ht="41.4" x14ac:dyDescent="0.3">
      <c r="B25" s="11">
        <f t="shared" si="25"/>
        <v>22</v>
      </c>
      <c r="C25" s="17" t="s">
        <v>240</v>
      </c>
      <c r="D25" s="17" t="s">
        <v>620</v>
      </c>
      <c r="E25" s="11" t="s">
        <v>376</v>
      </c>
      <c r="F25" s="11" t="s">
        <v>391</v>
      </c>
      <c r="G25" s="11" t="s">
        <v>241</v>
      </c>
      <c r="H25" s="11" t="s">
        <v>242</v>
      </c>
      <c r="I25" s="29">
        <v>43831</v>
      </c>
      <c r="J25" s="29">
        <v>44561</v>
      </c>
      <c r="K25" s="17" t="s">
        <v>243</v>
      </c>
      <c r="L25" s="6" t="s">
        <v>385</v>
      </c>
      <c r="M25" s="20" t="s">
        <v>455</v>
      </c>
      <c r="N25" s="34" t="s">
        <v>590</v>
      </c>
      <c r="O25" s="121" t="s">
        <v>654</v>
      </c>
      <c r="P25" s="20" t="s">
        <v>456</v>
      </c>
      <c r="Q25" s="20">
        <v>6208.1020799999997</v>
      </c>
      <c r="R25" s="30">
        <v>155</v>
      </c>
      <c r="S25" s="30">
        <v>0</v>
      </c>
      <c r="T25" s="34">
        <v>109</v>
      </c>
      <c r="U25" s="17" t="s">
        <v>383</v>
      </c>
      <c r="V25" s="115">
        <v>5503.12</v>
      </c>
      <c r="W25" s="115">
        <v>5804.27</v>
      </c>
      <c r="X25" s="30">
        <v>0</v>
      </c>
      <c r="Y25" s="30">
        <v>0</v>
      </c>
      <c r="Z25" s="34">
        <v>57</v>
      </c>
      <c r="AA25" s="34">
        <v>15</v>
      </c>
      <c r="AB25" s="30">
        <v>192700</v>
      </c>
      <c r="AC25" s="30">
        <v>22925</v>
      </c>
      <c r="AD25" s="240"/>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7"/>
      <c r="BB25" s="197"/>
      <c r="BC25" s="197"/>
      <c r="BD25" s="197"/>
      <c r="BE25" s="197"/>
    </row>
    <row r="26" spans="1:58" ht="41.4" x14ac:dyDescent="0.3">
      <c r="A26" s="16"/>
      <c r="B26" s="11">
        <f t="shared" si="25"/>
        <v>23</v>
      </c>
      <c r="C26" s="8" t="s">
        <v>363</v>
      </c>
      <c r="D26" s="8" t="s">
        <v>621</v>
      </c>
      <c r="E26" s="11" t="s">
        <v>376</v>
      </c>
      <c r="F26" s="11" t="s">
        <v>389</v>
      </c>
      <c r="G26" s="8" t="s">
        <v>251</v>
      </c>
      <c r="H26" s="6" t="s">
        <v>252</v>
      </c>
      <c r="I26" s="78" t="s">
        <v>257</v>
      </c>
      <c r="J26" s="78">
        <v>44469</v>
      </c>
      <c r="K26" s="17" t="s">
        <v>255</v>
      </c>
      <c r="L26" s="6" t="s">
        <v>385</v>
      </c>
      <c r="M26" s="20" t="s">
        <v>458</v>
      </c>
      <c r="N26" s="34" t="s">
        <v>590</v>
      </c>
      <c r="O26" s="121" t="s">
        <v>655</v>
      </c>
      <c r="P26" s="20" t="s">
        <v>456</v>
      </c>
      <c r="Q26" s="20">
        <v>5568.3761479999994</v>
      </c>
      <c r="R26" s="134">
        <v>0</v>
      </c>
      <c r="S26" s="13">
        <v>0</v>
      </c>
      <c r="T26" s="13">
        <v>0</v>
      </c>
      <c r="U26" s="17" t="s">
        <v>381</v>
      </c>
      <c r="V26" s="14">
        <v>0</v>
      </c>
      <c r="W26" s="14">
        <v>675</v>
      </c>
      <c r="X26" s="134">
        <v>65</v>
      </c>
      <c r="Y26" s="13">
        <v>0</v>
      </c>
      <c r="Z26" s="13">
        <v>45</v>
      </c>
      <c r="AA26" s="13">
        <v>25</v>
      </c>
      <c r="AB26" s="20">
        <v>271041</v>
      </c>
      <c r="AC26" s="13">
        <v>7250</v>
      </c>
      <c r="AD26" s="243"/>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row>
    <row r="27" spans="1:58" ht="27.6" x14ac:dyDescent="0.3">
      <c r="B27" s="11">
        <f t="shared" si="25"/>
        <v>24</v>
      </c>
      <c r="C27" s="8" t="s">
        <v>361</v>
      </c>
      <c r="D27" s="8" t="s">
        <v>622</v>
      </c>
      <c r="E27" s="11" t="s">
        <v>376</v>
      </c>
      <c r="F27" s="11" t="s">
        <v>389</v>
      </c>
      <c r="G27" s="8" t="s">
        <v>251</v>
      </c>
      <c r="H27" s="6" t="s">
        <v>252</v>
      </c>
      <c r="I27" s="78" t="s">
        <v>258</v>
      </c>
      <c r="J27" s="78">
        <v>44469</v>
      </c>
      <c r="K27" s="17" t="s">
        <v>256</v>
      </c>
      <c r="L27" s="6" t="s">
        <v>385</v>
      </c>
      <c r="M27" s="20" t="s">
        <v>458</v>
      </c>
      <c r="N27" s="34" t="s">
        <v>590</v>
      </c>
      <c r="O27" s="121" t="s">
        <v>656</v>
      </c>
      <c r="P27" s="20" t="s">
        <v>456</v>
      </c>
      <c r="Q27" s="20">
        <v>3156.420748</v>
      </c>
      <c r="R27" s="134">
        <v>0</v>
      </c>
      <c r="S27" s="13">
        <v>0</v>
      </c>
      <c r="T27" s="13">
        <v>0</v>
      </c>
      <c r="U27" s="17" t="s">
        <v>381</v>
      </c>
      <c r="V27" s="14">
        <v>0</v>
      </c>
      <c r="W27" s="14">
        <v>1600</v>
      </c>
      <c r="X27" s="134">
        <v>25</v>
      </c>
      <c r="Y27" s="13">
        <v>0</v>
      </c>
      <c r="Z27" s="13">
        <v>20</v>
      </c>
      <c r="AA27" s="13">
        <v>6</v>
      </c>
      <c r="AB27" s="20">
        <v>431993</v>
      </c>
      <c r="AC27" s="13">
        <v>6670</v>
      </c>
      <c r="AD27" s="243"/>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row>
    <row r="28" spans="1:58" ht="55.2" x14ac:dyDescent="0.3">
      <c r="B28" s="11">
        <f t="shared" si="25"/>
        <v>25</v>
      </c>
      <c r="C28" s="8" t="s">
        <v>362</v>
      </c>
      <c r="D28" s="8" t="s">
        <v>623</v>
      </c>
      <c r="E28" s="11" t="s">
        <v>376</v>
      </c>
      <c r="F28" s="11" t="s">
        <v>389</v>
      </c>
      <c r="G28" s="8" t="s">
        <v>251</v>
      </c>
      <c r="H28" s="6" t="s">
        <v>252</v>
      </c>
      <c r="I28" s="79">
        <v>43191</v>
      </c>
      <c r="J28" s="79">
        <v>45214</v>
      </c>
      <c r="K28" s="17" t="s">
        <v>259</v>
      </c>
      <c r="L28" s="6" t="s">
        <v>385</v>
      </c>
      <c r="M28" s="20" t="s">
        <v>455</v>
      </c>
      <c r="N28" s="34" t="s">
        <v>597</v>
      </c>
      <c r="O28" s="121" t="s">
        <v>657</v>
      </c>
      <c r="P28" s="20" t="s">
        <v>457</v>
      </c>
      <c r="Q28" s="20">
        <v>6932.0269699999999</v>
      </c>
      <c r="R28" s="34">
        <v>220</v>
      </c>
      <c r="S28" s="13">
        <v>0</v>
      </c>
      <c r="T28" s="13">
        <v>130</v>
      </c>
      <c r="U28" s="17" t="s">
        <v>382</v>
      </c>
      <c r="V28" s="14">
        <v>2285</v>
      </c>
      <c r="W28" s="14">
        <v>2285</v>
      </c>
      <c r="X28" s="13">
        <v>0</v>
      </c>
      <c r="Y28" s="13">
        <v>0</v>
      </c>
      <c r="Z28" s="13">
        <v>80</v>
      </c>
      <c r="AA28" s="13">
        <v>0</v>
      </c>
      <c r="AB28" s="20">
        <v>283146</v>
      </c>
      <c r="AC28" s="13">
        <v>172124</v>
      </c>
      <c r="AD28" s="243"/>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row>
    <row r="29" spans="1:58" ht="27.6" x14ac:dyDescent="0.3">
      <c r="B29" s="11">
        <f t="shared" si="25"/>
        <v>26</v>
      </c>
      <c r="C29" s="75" t="s">
        <v>286</v>
      </c>
      <c r="D29" s="75" t="s">
        <v>588</v>
      </c>
      <c r="E29" s="11" t="s">
        <v>376</v>
      </c>
      <c r="F29" s="11" t="s">
        <v>398</v>
      </c>
      <c r="G29" s="6" t="s">
        <v>287</v>
      </c>
      <c r="H29" s="26" t="s">
        <v>288</v>
      </c>
      <c r="I29" s="10">
        <v>44197</v>
      </c>
      <c r="J29" s="10">
        <v>44561</v>
      </c>
      <c r="K29" s="17" t="s">
        <v>289</v>
      </c>
      <c r="L29" s="6" t="s">
        <v>385</v>
      </c>
      <c r="M29" s="20" t="s">
        <v>458</v>
      </c>
      <c r="N29" s="34" t="s">
        <v>598</v>
      </c>
      <c r="O29" s="121" t="s">
        <v>750</v>
      </c>
      <c r="P29" s="20" t="s">
        <v>457</v>
      </c>
      <c r="Q29" s="20">
        <v>8349.2875630000017</v>
      </c>
      <c r="R29" s="20">
        <v>0</v>
      </c>
      <c r="S29" s="13">
        <v>0</v>
      </c>
      <c r="T29" s="20">
        <v>0</v>
      </c>
      <c r="U29" s="17" t="s">
        <v>382</v>
      </c>
      <c r="V29" s="14">
        <f>+W29</f>
        <v>3616</v>
      </c>
      <c r="W29" s="14">
        <v>3616</v>
      </c>
      <c r="X29" s="20">
        <v>200</v>
      </c>
      <c r="Y29" s="13">
        <v>0</v>
      </c>
      <c r="Z29" s="13">
        <v>180</v>
      </c>
      <c r="AA29" s="13">
        <v>20</v>
      </c>
      <c r="AB29" s="399">
        <v>309148</v>
      </c>
      <c r="AC29" s="13">
        <v>2852</v>
      </c>
      <c r="AD29" s="243"/>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row>
    <row r="30" spans="1:58" ht="41.4" x14ac:dyDescent="0.3">
      <c r="B30" s="11">
        <f t="shared" si="25"/>
        <v>27</v>
      </c>
      <c r="C30" s="75" t="s">
        <v>290</v>
      </c>
      <c r="D30" s="75" t="s">
        <v>624</v>
      </c>
      <c r="E30" s="11" t="s">
        <v>376</v>
      </c>
      <c r="F30" s="11" t="s">
        <v>398</v>
      </c>
      <c r="G30" s="6" t="s">
        <v>291</v>
      </c>
      <c r="H30" s="6" t="s">
        <v>292</v>
      </c>
      <c r="I30" s="10">
        <v>44197</v>
      </c>
      <c r="J30" s="10">
        <v>44561</v>
      </c>
      <c r="K30" s="17" t="s">
        <v>293</v>
      </c>
      <c r="L30" s="6" t="s">
        <v>385</v>
      </c>
      <c r="M30" s="20" t="s">
        <v>455</v>
      </c>
      <c r="N30" s="34" t="s">
        <v>597</v>
      </c>
      <c r="O30" s="121" t="s">
        <v>639</v>
      </c>
      <c r="P30" s="20" t="s">
        <v>457</v>
      </c>
      <c r="Q30" s="20">
        <v>11322.333732000001</v>
      </c>
      <c r="R30" s="34">
        <v>110</v>
      </c>
      <c r="S30" s="13">
        <v>0</v>
      </c>
      <c r="T30" s="20">
        <v>120</v>
      </c>
      <c r="U30" s="17" t="s">
        <v>382</v>
      </c>
      <c r="V30" s="14">
        <v>23915</v>
      </c>
      <c r="W30" s="14">
        <v>23915</v>
      </c>
      <c r="X30" s="90">
        <v>127</v>
      </c>
      <c r="Y30" s="13">
        <v>0</v>
      </c>
      <c r="Z30" s="13">
        <v>136</v>
      </c>
      <c r="AA30" s="13">
        <v>10</v>
      </c>
      <c r="AB30" s="399">
        <v>309148</v>
      </c>
      <c r="AC30" s="13">
        <v>45498</v>
      </c>
      <c r="AD30" s="243"/>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row>
    <row r="31" spans="1:58" ht="41.4" x14ac:dyDescent="0.3">
      <c r="B31" s="11">
        <f t="shared" si="25"/>
        <v>28</v>
      </c>
      <c r="C31" s="91" t="s">
        <v>299</v>
      </c>
      <c r="D31" s="91" t="s">
        <v>627</v>
      </c>
      <c r="E31" s="11" t="s">
        <v>376</v>
      </c>
      <c r="F31" s="11" t="s">
        <v>398</v>
      </c>
      <c r="G31" s="6" t="s">
        <v>300</v>
      </c>
      <c r="H31" s="6" t="s">
        <v>301</v>
      </c>
      <c r="I31" s="10">
        <v>43831</v>
      </c>
      <c r="J31" s="10">
        <v>44561</v>
      </c>
      <c r="K31" s="17" t="s">
        <v>302</v>
      </c>
      <c r="L31" s="6" t="s">
        <v>385</v>
      </c>
      <c r="M31" s="20" t="s">
        <v>455</v>
      </c>
      <c r="N31" s="34" t="s">
        <v>593</v>
      </c>
      <c r="O31" s="121" t="s">
        <v>640</v>
      </c>
      <c r="P31" s="20" t="s">
        <v>457</v>
      </c>
      <c r="Q31" s="20">
        <v>6223.6178110000001</v>
      </c>
      <c r="R31" s="34">
        <v>300</v>
      </c>
      <c r="S31" s="13">
        <v>0</v>
      </c>
      <c r="T31" s="20">
        <v>197.25</v>
      </c>
      <c r="U31" s="17" t="s">
        <v>382</v>
      </c>
      <c r="V31" s="14">
        <v>20248</v>
      </c>
      <c r="W31" s="14">
        <v>20248</v>
      </c>
      <c r="X31" s="34">
        <v>55</v>
      </c>
      <c r="Y31" s="13">
        <v>0</v>
      </c>
      <c r="Z31" s="13">
        <v>21</v>
      </c>
      <c r="AA31" s="13">
        <v>2.25</v>
      </c>
      <c r="AB31" s="399">
        <v>309148</v>
      </c>
      <c r="AC31" s="34">
        <v>355</v>
      </c>
      <c r="AD31" s="242"/>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row>
    <row r="32" spans="1:58" ht="41.4" x14ac:dyDescent="0.3">
      <c r="B32" s="11">
        <f t="shared" si="25"/>
        <v>29</v>
      </c>
      <c r="C32" s="49" t="s">
        <v>360</v>
      </c>
      <c r="D32" s="49" t="s">
        <v>625</v>
      </c>
      <c r="E32" s="11" t="s">
        <v>376</v>
      </c>
      <c r="F32" s="11" t="s">
        <v>398</v>
      </c>
      <c r="G32" s="6" t="s">
        <v>294</v>
      </c>
      <c r="H32" s="6" t="s">
        <v>295</v>
      </c>
      <c r="I32" s="10">
        <v>44197</v>
      </c>
      <c r="J32" s="10">
        <v>44561</v>
      </c>
      <c r="K32" s="17" t="s">
        <v>296</v>
      </c>
      <c r="L32" s="6" t="s">
        <v>385</v>
      </c>
      <c r="M32" s="20" t="s">
        <v>455</v>
      </c>
      <c r="N32" s="34" t="s">
        <v>590</v>
      </c>
      <c r="O32" s="121" t="s">
        <v>658</v>
      </c>
      <c r="P32" s="20" t="s">
        <v>456</v>
      </c>
      <c r="Q32" s="20">
        <v>7416.5808200000001</v>
      </c>
      <c r="R32" s="34">
        <v>60</v>
      </c>
      <c r="S32" s="13">
        <v>0</v>
      </c>
      <c r="T32" s="20">
        <v>99</v>
      </c>
      <c r="U32" s="17" t="s">
        <v>383</v>
      </c>
      <c r="V32" s="14">
        <v>1370</v>
      </c>
      <c r="W32" s="14">
        <v>2240</v>
      </c>
      <c r="X32" s="90">
        <v>0</v>
      </c>
      <c r="Y32" s="13">
        <v>0</v>
      </c>
      <c r="Z32" s="20">
        <v>7</v>
      </c>
      <c r="AA32" s="20">
        <v>3</v>
      </c>
      <c r="AB32" s="13">
        <v>221458</v>
      </c>
      <c r="AC32" s="41">
        <v>10341</v>
      </c>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row>
    <row r="33" spans="2:60" ht="41.4" x14ac:dyDescent="0.3">
      <c r="B33" s="11">
        <f t="shared" si="25"/>
        <v>30</v>
      </c>
      <c r="C33" s="91" t="s">
        <v>303</v>
      </c>
      <c r="D33" s="91" t="s">
        <v>626</v>
      </c>
      <c r="E33" s="11" t="s">
        <v>376</v>
      </c>
      <c r="F33" s="11" t="s">
        <v>398</v>
      </c>
      <c r="G33" s="11" t="s">
        <v>297</v>
      </c>
      <c r="H33" s="6" t="s">
        <v>298</v>
      </c>
      <c r="I33" s="10">
        <v>44197</v>
      </c>
      <c r="J33" s="10">
        <v>44561</v>
      </c>
      <c r="K33" s="17" t="s">
        <v>296</v>
      </c>
      <c r="L33" s="6" t="s">
        <v>385</v>
      </c>
      <c r="M33" s="20" t="s">
        <v>455</v>
      </c>
      <c r="N33" s="34" t="s">
        <v>590</v>
      </c>
      <c r="O33" s="121" t="s">
        <v>796</v>
      </c>
      <c r="P33" s="20" t="s">
        <v>456</v>
      </c>
      <c r="Q33" s="20">
        <v>7628.4850750000005</v>
      </c>
      <c r="R33" s="34">
        <v>60</v>
      </c>
      <c r="S33" s="13">
        <v>0</v>
      </c>
      <c r="T33" s="20">
        <v>70</v>
      </c>
      <c r="U33" s="17" t="s">
        <v>381</v>
      </c>
      <c r="V33" s="14">
        <v>450</v>
      </c>
      <c r="W33" s="14">
        <v>1400</v>
      </c>
      <c r="X33" s="90">
        <v>12</v>
      </c>
      <c r="Y33" s="13">
        <v>0</v>
      </c>
      <c r="Z33" s="13">
        <v>14</v>
      </c>
      <c r="AA33" s="13">
        <v>4</v>
      </c>
      <c r="AB33" s="43">
        <v>119773</v>
      </c>
      <c r="AC33" s="43">
        <v>5485</v>
      </c>
      <c r="AD33" s="239"/>
      <c r="AE33" s="197"/>
      <c r="AF33" s="197"/>
      <c r="AG33" s="197"/>
      <c r="AH33" s="197"/>
      <c r="AI33" s="197"/>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65"/>
      <c r="BG33" s="65"/>
      <c r="BH33" s="65"/>
    </row>
    <row r="34" spans="2:60" ht="41.4" x14ac:dyDescent="0.3">
      <c r="B34" s="11">
        <f t="shared" si="25"/>
        <v>31</v>
      </c>
      <c r="C34" s="99" t="s">
        <v>359</v>
      </c>
      <c r="D34" s="99" t="s">
        <v>628</v>
      </c>
      <c r="E34" s="11" t="s">
        <v>376</v>
      </c>
      <c r="F34" s="11" t="s">
        <v>397</v>
      </c>
      <c r="G34" s="98" t="s">
        <v>325</v>
      </c>
      <c r="H34" s="98" t="s">
        <v>323</v>
      </c>
      <c r="I34" s="100">
        <v>43831</v>
      </c>
      <c r="J34" s="100">
        <v>44561</v>
      </c>
      <c r="K34" s="99" t="s">
        <v>324</v>
      </c>
      <c r="L34" s="6" t="s">
        <v>385</v>
      </c>
      <c r="M34" s="20" t="s">
        <v>455</v>
      </c>
      <c r="N34" s="34" t="s">
        <v>596</v>
      </c>
      <c r="O34" s="121" t="s">
        <v>659</v>
      </c>
      <c r="P34" s="20" t="s">
        <v>457</v>
      </c>
      <c r="Q34" s="20">
        <v>15923.213</v>
      </c>
      <c r="R34" s="102">
        <v>35</v>
      </c>
      <c r="S34" s="102">
        <v>10</v>
      </c>
      <c r="T34" s="102">
        <v>36</v>
      </c>
      <c r="U34" s="17" t="s">
        <v>382</v>
      </c>
      <c r="V34" s="101">
        <v>8448</v>
      </c>
      <c r="W34" s="101">
        <v>8448</v>
      </c>
      <c r="X34" s="102">
        <v>0</v>
      </c>
      <c r="Y34" s="102">
        <v>0</v>
      </c>
      <c r="Z34" s="102">
        <v>0</v>
      </c>
      <c r="AA34" s="102">
        <v>0</v>
      </c>
      <c r="AB34" s="102">
        <v>1924163</v>
      </c>
      <c r="AC34" s="102">
        <v>2894</v>
      </c>
      <c r="AD34" s="244"/>
      <c r="AE34"/>
    </row>
    <row r="35" spans="2:60" ht="41.4" x14ac:dyDescent="0.3">
      <c r="B35" s="11">
        <f t="shared" si="25"/>
        <v>32</v>
      </c>
      <c r="C35" s="17" t="s">
        <v>358</v>
      </c>
      <c r="D35" s="17" t="s">
        <v>629</v>
      </c>
      <c r="E35" s="11" t="s">
        <v>376</v>
      </c>
      <c r="F35" s="11" t="s">
        <v>393</v>
      </c>
      <c r="G35" s="6" t="s">
        <v>343</v>
      </c>
      <c r="H35" s="6" t="s">
        <v>344</v>
      </c>
      <c r="I35" s="10">
        <v>44197</v>
      </c>
      <c r="J35" s="10">
        <v>44561</v>
      </c>
      <c r="K35" s="9" t="s">
        <v>345</v>
      </c>
      <c r="L35" s="6" t="s">
        <v>385</v>
      </c>
      <c r="M35" s="20" t="s">
        <v>455</v>
      </c>
      <c r="N35" s="34" t="s">
        <v>590</v>
      </c>
      <c r="O35" s="121" t="s">
        <v>660</v>
      </c>
      <c r="P35" s="20" t="s">
        <v>456</v>
      </c>
      <c r="Q35" s="20">
        <v>11740.7745237</v>
      </c>
      <c r="R35" s="77">
        <v>80</v>
      </c>
      <c r="S35" s="13">
        <v>0</v>
      </c>
      <c r="T35" s="13">
        <v>50</v>
      </c>
      <c r="U35" s="17" t="s">
        <v>383</v>
      </c>
      <c r="V35" s="14">
        <v>1535.26</v>
      </c>
      <c r="W35" s="14">
        <v>1878.4</v>
      </c>
      <c r="X35" s="77">
        <v>10</v>
      </c>
      <c r="Y35" s="13">
        <v>0</v>
      </c>
      <c r="Z35" s="13">
        <v>20</v>
      </c>
      <c r="AA35" s="13">
        <v>15</v>
      </c>
      <c r="AB35" s="43">
        <v>137503</v>
      </c>
      <c r="AC35" s="43">
        <v>4462</v>
      </c>
      <c r="AD35" s="197"/>
      <c r="AE35"/>
    </row>
    <row r="36" spans="2:60" ht="69" x14ac:dyDescent="0.3">
      <c r="B36" s="11">
        <f t="shared" si="25"/>
        <v>33</v>
      </c>
      <c r="C36" s="17" t="s">
        <v>357</v>
      </c>
      <c r="D36" s="17" t="s">
        <v>630</v>
      </c>
      <c r="E36" s="11" t="s">
        <v>376</v>
      </c>
      <c r="F36" s="11" t="s">
        <v>393</v>
      </c>
      <c r="G36" s="6" t="s">
        <v>346</v>
      </c>
      <c r="H36" s="6" t="s">
        <v>347</v>
      </c>
      <c r="I36" s="10">
        <v>44197</v>
      </c>
      <c r="J36" s="10">
        <v>44561</v>
      </c>
      <c r="K36" s="9" t="s">
        <v>348</v>
      </c>
      <c r="L36" s="6" t="s">
        <v>385</v>
      </c>
      <c r="M36" s="20" t="s">
        <v>455</v>
      </c>
      <c r="N36" s="34" t="s">
        <v>590</v>
      </c>
      <c r="O36" s="121" t="s">
        <v>661</v>
      </c>
      <c r="P36" s="20" t="s">
        <v>456</v>
      </c>
      <c r="Q36" s="20">
        <v>11965.289610149999</v>
      </c>
      <c r="R36" s="34">
        <v>70</v>
      </c>
      <c r="S36" s="20">
        <v>0</v>
      </c>
      <c r="T36" s="20">
        <v>57</v>
      </c>
      <c r="U36" s="17" t="s">
        <v>381</v>
      </c>
      <c r="V36" s="25">
        <v>1023</v>
      </c>
      <c r="W36" s="25">
        <v>1644</v>
      </c>
      <c r="X36" s="34">
        <v>50</v>
      </c>
      <c r="Y36" s="20">
        <v>0</v>
      </c>
      <c r="Z36" s="20">
        <v>26</v>
      </c>
      <c r="AA36" s="20">
        <v>17</v>
      </c>
      <c r="AB36" s="92">
        <v>82984</v>
      </c>
      <c r="AC36" s="92">
        <v>17509</v>
      </c>
      <c r="AD36" s="245"/>
      <c r="AE36"/>
    </row>
    <row r="37" spans="2:60" ht="41.4" x14ac:dyDescent="0.3">
      <c r="B37" s="11">
        <f t="shared" si="25"/>
        <v>34</v>
      </c>
      <c r="C37" s="17" t="s">
        <v>356</v>
      </c>
      <c r="D37" s="17" t="s">
        <v>631</v>
      </c>
      <c r="E37" s="11" t="s">
        <v>376</v>
      </c>
      <c r="F37" s="11" t="s">
        <v>393</v>
      </c>
      <c r="G37" s="6" t="s">
        <v>349</v>
      </c>
      <c r="H37" s="6" t="s">
        <v>350</v>
      </c>
      <c r="I37" s="10">
        <v>43831</v>
      </c>
      <c r="J37" s="10">
        <v>44561</v>
      </c>
      <c r="K37" s="9" t="s">
        <v>351</v>
      </c>
      <c r="L37" s="6" t="s">
        <v>385</v>
      </c>
      <c r="M37" s="20" t="s">
        <v>455</v>
      </c>
      <c r="N37" s="34" t="s">
        <v>590</v>
      </c>
      <c r="O37" s="121" t="s">
        <v>662</v>
      </c>
      <c r="P37" s="20" t="s">
        <v>456</v>
      </c>
      <c r="Q37" s="20">
        <v>6371.1854956999996</v>
      </c>
      <c r="R37" s="20">
        <v>60</v>
      </c>
      <c r="S37" s="20">
        <v>0</v>
      </c>
      <c r="T37" s="20">
        <v>37</v>
      </c>
      <c r="U37" s="17" t="s">
        <v>381</v>
      </c>
      <c r="V37" s="25">
        <v>1520</v>
      </c>
      <c r="W37" s="25">
        <v>1896</v>
      </c>
      <c r="X37" s="34">
        <v>60</v>
      </c>
      <c r="Y37" s="43">
        <v>0</v>
      </c>
      <c r="Z37" s="103">
        <v>20</v>
      </c>
      <c r="AA37" s="109">
        <v>9</v>
      </c>
      <c r="AB37" s="43">
        <v>192267</v>
      </c>
      <c r="AC37" s="92">
        <v>10196</v>
      </c>
      <c r="AD37" s="245"/>
      <c r="AE37"/>
    </row>
    <row r="38" spans="2:60" ht="27.6" x14ac:dyDescent="0.3">
      <c r="B38" s="11">
        <f t="shared" si="25"/>
        <v>35</v>
      </c>
      <c r="C38" s="17" t="s">
        <v>355</v>
      </c>
      <c r="D38" s="17" t="s">
        <v>632</v>
      </c>
      <c r="E38" s="11" t="s">
        <v>376</v>
      </c>
      <c r="F38" s="11" t="s">
        <v>393</v>
      </c>
      <c r="G38" s="6" t="s">
        <v>352</v>
      </c>
      <c r="H38" s="26" t="s">
        <v>353</v>
      </c>
      <c r="I38" s="10">
        <v>44166</v>
      </c>
      <c r="J38" s="10">
        <v>44561</v>
      </c>
      <c r="K38" s="17" t="s">
        <v>354</v>
      </c>
      <c r="L38" s="6" t="s">
        <v>385</v>
      </c>
      <c r="M38" s="20" t="s">
        <v>455</v>
      </c>
      <c r="N38" s="34" t="s">
        <v>590</v>
      </c>
      <c r="O38" s="121" t="s">
        <v>663</v>
      </c>
      <c r="P38" s="20" t="s">
        <v>456</v>
      </c>
      <c r="Q38" s="20">
        <v>7456.5872289499994</v>
      </c>
      <c r="R38" s="30">
        <v>30</v>
      </c>
      <c r="S38" s="43">
        <v>0</v>
      </c>
      <c r="T38" s="30">
        <v>26</v>
      </c>
      <c r="U38" s="17" t="s">
        <v>381</v>
      </c>
      <c r="V38" s="42">
        <v>512.1</v>
      </c>
      <c r="W38" s="42">
        <v>1026.3599999999999</v>
      </c>
      <c r="X38" s="43">
        <v>0</v>
      </c>
      <c r="Y38" s="43">
        <v>0</v>
      </c>
      <c r="Z38" s="43">
        <v>0</v>
      </c>
      <c r="AA38" s="43">
        <v>0</v>
      </c>
      <c r="AB38" s="43">
        <v>148000</v>
      </c>
      <c r="AC38" s="41">
        <v>4885</v>
      </c>
      <c r="AD38" s="242"/>
      <c r="AE38"/>
    </row>
    <row r="39" spans="2:60" ht="41.4" x14ac:dyDescent="0.3">
      <c r="B39" s="11">
        <f t="shared" si="25"/>
        <v>36</v>
      </c>
      <c r="C39" s="63" t="s">
        <v>414</v>
      </c>
      <c r="D39" s="17" t="s">
        <v>633</v>
      </c>
      <c r="E39" s="11" t="s">
        <v>376</v>
      </c>
      <c r="F39" s="11" t="s">
        <v>394</v>
      </c>
      <c r="G39" s="11" t="s">
        <v>409</v>
      </c>
      <c r="H39" s="35" t="s">
        <v>410</v>
      </c>
      <c r="I39" s="29">
        <v>43978</v>
      </c>
      <c r="J39" s="29">
        <v>44578</v>
      </c>
      <c r="K39" s="17" t="s">
        <v>415</v>
      </c>
      <c r="L39" s="6" t="s">
        <v>385</v>
      </c>
      <c r="M39" s="20" t="s">
        <v>455</v>
      </c>
      <c r="N39" s="34" t="s">
        <v>590</v>
      </c>
      <c r="O39" s="121" t="s">
        <v>664</v>
      </c>
      <c r="P39" s="20" t="s">
        <v>457</v>
      </c>
      <c r="Q39" s="20">
        <v>10392.385373000001</v>
      </c>
      <c r="R39" s="34">
        <v>63</v>
      </c>
      <c r="S39" s="34">
        <v>0</v>
      </c>
      <c r="T39" s="34">
        <v>45</v>
      </c>
      <c r="U39" s="17" t="s">
        <v>383</v>
      </c>
      <c r="V39" s="31">
        <v>976</v>
      </c>
      <c r="W39" s="31">
        <v>1451</v>
      </c>
      <c r="X39" s="34">
        <v>0</v>
      </c>
      <c r="Y39" s="34">
        <v>0</v>
      </c>
      <c r="Z39" s="34">
        <v>0</v>
      </c>
      <c r="AA39" s="34">
        <v>0</v>
      </c>
      <c r="AB39" s="30">
        <v>878591</v>
      </c>
      <c r="AC39" s="30">
        <v>19037</v>
      </c>
      <c r="AD39" s="240"/>
      <c r="AE39"/>
    </row>
    <row r="40" spans="2:60" ht="14.4" x14ac:dyDescent="0.3">
      <c r="Q40" s="227">
        <f>+SUM(Q4:Q39)</f>
        <v>343893.12389628985</v>
      </c>
      <c r="R40" s="228">
        <f>+SUM(R4:R39)</f>
        <v>3028</v>
      </c>
      <c r="S40" s="228">
        <f>+SUM(S4:S39)</f>
        <v>260</v>
      </c>
      <c r="T40" s="228">
        <f>+SUM(T4:T39)</f>
        <v>3046.5</v>
      </c>
      <c r="U40" s="5"/>
      <c r="V40" s="227">
        <f t="shared" ref="V40:AC40" si="27">+SUM(V4:V39)</f>
        <v>144683.82999999999</v>
      </c>
      <c r="W40" s="227">
        <f t="shared" si="27"/>
        <v>175444.97</v>
      </c>
      <c r="X40" s="228">
        <f t="shared" si="27"/>
        <v>1207</v>
      </c>
      <c r="Y40" s="228">
        <f t="shared" si="27"/>
        <v>900</v>
      </c>
      <c r="Z40" s="228">
        <f t="shared" si="27"/>
        <v>1665</v>
      </c>
      <c r="AA40" s="228">
        <f t="shared" si="27"/>
        <v>300.25</v>
      </c>
      <c r="AB40" s="228">
        <f>+SUM(AB4:AB39)-AB4-AB5-AB7-AB8-AB9-AB10-AB12-AB13-AB14-AB15-AB16-AB18-AB30-AB31-AB24</f>
        <v>14972453</v>
      </c>
      <c r="AC40" s="228">
        <f t="shared" si="27"/>
        <v>1534206</v>
      </c>
      <c r="AD40" s="228"/>
      <c r="AE40"/>
    </row>
    <row r="41" spans="2:60" ht="27.6" x14ac:dyDescent="0.3">
      <c r="AB41" s="397" t="s">
        <v>946</v>
      </c>
      <c r="AE41"/>
    </row>
    <row r="42" spans="2:60" ht="14.4" x14ac:dyDescent="0.3">
      <c r="AE42"/>
    </row>
    <row r="43" spans="2:60" ht="14.4" x14ac:dyDescent="0.3">
      <c r="AE43"/>
    </row>
    <row r="44" spans="2:60" ht="14.4" x14ac:dyDescent="0.3">
      <c r="AE44"/>
    </row>
    <row r="45" spans="2:60" ht="14.4" x14ac:dyDescent="0.3">
      <c r="AE45"/>
    </row>
    <row r="46" spans="2:60" ht="14.4" x14ac:dyDescent="0.3">
      <c r="AE46"/>
    </row>
    <row r="47" spans="2:60" ht="14.4" x14ac:dyDescent="0.3">
      <c r="AE47"/>
    </row>
    <row r="48" spans="2:60" ht="14.4" x14ac:dyDescent="0.3">
      <c r="AE48"/>
    </row>
    <row r="49" spans="31:31" ht="14.4" x14ac:dyDescent="0.3">
      <c r="AE49"/>
    </row>
    <row r="50" spans="31:31" ht="14.4" x14ac:dyDescent="0.3">
      <c r="AE50"/>
    </row>
    <row r="51" spans="31:31" ht="14.4" x14ac:dyDescent="0.3">
      <c r="AE51"/>
    </row>
    <row r="52" spans="31:31" ht="14.4" x14ac:dyDescent="0.3">
      <c r="AE52"/>
    </row>
    <row r="53" spans="31:31" ht="14.4" x14ac:dyDescent="0.3">
      <c r="AE53"/>
    </row>
    <row r="54" spans="31:31" ht="14.4" x14ac:dyDescent="0.3">
      <c r="AE54"/>
    </row>
    <row r="55" spans="31:31" ht="14.4" x14ac:dyDescent="0.3">
      <c r="AE55"/>
    </row>
    <row r="56" spans="31:31" ht="14.4" x14ac:dyDescent="0.3">
      <c r="AE56"/>
    </row>
    <row r="57" spans="31:31" ht="14.4" x14ac:dyDescent="0.3">
      <c r="AE57"/>
    </row>
  </sheetData>
  <autoFilter ref="B2:AC41" xr:uid="{00000000-0001-0000-0200-000000000000}">
    <filterColumn colId="16" showButton="0"/>
    <filterColumn colId="17" showButton="0"/>
    <filterColumn colId="20" showButton="0"/>
    <filterColumn colId="22" showButton="0"/>
    <filterColumn colId="24" showButton="0"/>
  </autoFilter>
  <mergeCells count="31">
    <mergeCell ref="I2:I3"/>
    <mergeCell ref="J2:J3"/>
    <mergeCell ref="K2:K3"/>
    <mergeCell ref="L2:L3"/>
    <mergeCell ref="AC2:AC3"/>
    <mergeCell ref="V2:W2"/>
    <mergeCell ref="X2:Y2"/>
    <mergeCell ref="Z2:AA2"/>
    <mergeCell ref="AB2:AB3"/>
    <mergeCell ref="U2:U3"/>
    <mergeCell ref="N2:N3"/>
    <mergeCell ref="O2:O3"/>
    <mergeCell ref="P2:P3"/>
    <mergeCell ref="M2:M3"/>
    <mergeCell ref="R2:S2"/>
    <mergeCell ref="T2:T3"/>
    <mergeCell ref="H2:H3"/>
    <mergeCell ref="B2:B3"/>
    <mergeCell ref="C2:C3"/>
    <mergeCell ref="E2:E3"/>
    <mergeCell ref="F2:F3"/>
    <mergeCell ref="G2:G3"/>
    <mergeCell ref="D2:D3"/>
    <mergeCell ref="Q2:Q3"/>
    <mergeCell ref="BD2:BD3"/>
    <mergeCell ref="BE2:BE3"/>
    <mergeCell ref="AF2:AF3"/>
    <mergeCell ref="AG2:AP2"/>
    <mergeCell ref="AQ2:AU2"/>
    <mergeCell ref="AV2:BA2"/>
    <mergeCell ref="BB2:BC2"/>
  </mergeCells>
  <conditionalFormatting sqref="I26:J27">
    <cfRule type="containsText" dxfId="0" priority="1" operator="containsText" text="декабр">
      <formula>NOT(ISERROR(SEARCH("декабр",I26)))</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'1'!$B$17:$B$30</xm:f>
          </x14:formula1>
          <xm:sqref>F4:F39</xm:sqref>
        </x14:dataValidation>
        <x14:dataValidation type="list" allowBlank="1" showInputMessage="1" showErrorMessage="1" xr:uid="{00000000-0002-0000-0200-000001000000}">
          <x14:formula1>
            <xm:f>'1'!$B$11:$B$15</xm:f>
          </x14:formula1>
          <xm:sqref>E4:E39</xm:sqref>
        </x14:dataValidation>
        <x14:dataValidation type="list" allowBlank="1" showInputMessage="1" showErrorMessage="1" xr:uid="{00000000-0002-0000-0200-000002000000}">
          <x14:formula1>
            <xm:f>'1'!$B$3:$B$4</xm:f>
          </x14:formula1>
          <xm:sqref>L4:L39</xm:sqref>
        </x14:dataValidation>
        <x14:dataValidation type="list" allowBlank="1" showInputMessage="1" showErrorMessage="1" xr:uid="{00000000-0002-0000-0200-000003000000}">
          <x14:formula1>
            <xm:f>'1'!$B$7:$B$9</xm:f>
          </x14:formula1>
          <xm:sqref>U4:U39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42"/>
  <sheetViews>
    <sheetView showGridLines="0" topLeftCell="Y17" zoomScale="64" zoomScaleNormal="90" workbookViewId="0">
      <selection activeCell="AL22" sqref="AL22"/>
    </sheetView>
  </sheetViews>
  <sheetFormatPr defaultColWidth="8.77734375" defaultRowHeight="13.8" x14ac:dyDescent="0.3"/>
  <cols>
    <col min="1" max="2" width="8.77734375" style="16"/>
    <col min="3" max="3" width="38.44140625" style="16" customWidth="1"/>
    <col min="4" max="4" width="18.33203125" style="16" bestFit="1" customWidth="1"/>
    <col min="5" max="5" width="23.44140625" style="16" customWidth="1"/>
    <col min="6" max="7" width="21" style="16" hidden="1" customWidth="1"/>
    <col min="8" max="8" width="20.44140625" style="16" customWidth="1"/>
    <col min="9" max="9" width="15.44140625" style="16" customWidth="1"/>
    <col min="10" max="10" width="15.6640625" style="16" hidden="1" customWidth="1"/>
    <col min="11" max="11" width="16.77734375" style="16" bestFit="1" customWidth="1"/>
    <col min="12" max="12" width="16.77734375" style="16" customWidth="1"/>
    <col min="13" max="13" width="38.77734375" style="139" customWidth="1"/>
    <col min="14" max="14" width="15.44140625" style="139" customWidth="1"/>
    <col min="15" max="15" width="28" style="139" customWidth="1"/>
    <col min="16" max="17" width="16.33203125" style="39" customWidth="1"/>
    <col min="18" max="19" width="16.44140625" style="39" customWidth="1"/>
    <col min="20" max="20" width="21.6640625" style="44" customWidth="1"/>
    <col min="21" max="21" width="20.77734375" style="44" customWidth="1"/>
    <col min="22" max="22" width="28" style="39" customWidth="1"/>
    <col min="23" max="23" width="27.6640625" style="16" customWidth="1"/>
    <col min="24" max="26" width="8.77734375" style="16"/>
    <col min="27" max="27" width="37.109375" style="16" customWidth="1"/>
    <col min="28" max="28" width="16.33203125" style="16" customWidth="1"/>
    <col min="29" max="29" width="5.44140625" style="16" customWidth="1"/>
    <col min="30" max="30" width="16.33203125" style="16" customWidth="1"/>
    <col min="31" max="31" width="6.109375" style="16" customWidth="1"/>
    <col min="32" max="33" width="37.109375" style="16" customWidth="1"/>
    <col min="34" max="34" width="18.109375" style="16" customWidth="1"/>
    <col min="35" max="35" width="20.109375" style="16" customWidth="1"/>
    <col min="36" max="36" width="6.77734375" style="16" customWidth="1"/>
    <col min="37" max="37" width="22" style="16" customWidth="1"/>
    <col min="38" max="38" width="22.109375" style="16" customWidth="1"/>
    <col min="39" max="39" width="21.109375" style="16" customWidth="1"/>
    <col min="40" max="40" width="5.77734375" style="16" customWidth="1"/>
    <col min="41" max="41" width="20.109375" style="16" customWidth="1"/>
    <col min="42" max="42" width="16.77734375" style="16" customWidth="1"/>
    <col min="43" max="43" width="6.44140625" style="16" customWidth="1"/>
    <col min="44" max="44" width="20.109375" style="16" customWidth="1"/>
    <col min="45" max="45" width="21.77734375" style="16" customWidth="1"/>
    <col min="46" max="46" width="20.109375" style="16" customWidth="1"/>
    <col min="47" max="47" width="6.109375" style="16" customWidth="1"/>
    <col min="48" max="48" width="19.33203125" style="16" customWidth="1"/>
    <col min="49" max="49" width="8.77734375" style="16"/>
    <col min="50" max="50" width="15.33203125" style="16" customWidth="1"/>
    <col min="51" max="16384" width="8.77734375" style="16"/>
  </cols>
  <sheetData>
    <row r="1" spans="2:47" x14ac:dyDescent="0.3">
      <c r="B1" s="38" t="s">
        <v>718</v>
      </c>
      <c r="V1" s="144" t="s">
        <v>921</v>
      </c>
      <c r="W1" s="144" t="s">
        <v>921</v>
      </c>
    </row>
    <row r="2" spans="2:47" s="144" customFormat="1" ht="57.45" customHeight="1" x14ac:dyDescent="0.3">
      <c r="B2" s="445" t="s">
        <v>431</v>
      </c>
      <c r="C2" s="423" t="s">
        <v>400</v>
      </c>
      <c r="D2" s="423" t="s">
        <v>432</v>
      </c>
      <c r="E2" s="423" t="s">
        <v>433</v>
      </c>
      <c r="F2" s="423" t="s">
        <v>434</v>
      </c>
      <c r="G2" s="423" t="s">
        <v>435</v>
      </c>
      <c r="H2" s="423" t="s">
        <v>436</v>
      </c>
      <c r="I2" s="423" t="s">
        <v>437</v>
      </c>
      <c r="J2" s="423" t="s">
        <v>438</v>
      </c>
      <c r="K2" s="423" t="s">
        <v>439</v>
      </c>
      <c r="L2" s="423" t="s">
        <v>403</v>
      </c>
      <c r="M2" s="423" t="s">
        <v>401</v>
      </c>
      <c r="N2" s="423" t="s">
        <v>402</v>
      </c>
      <c r="O2" s="438" t="s">
        <v>769</v>
      </c>
      <c r="P2" s="447" t="s">
        <v>715</v>
      </c>
      <c r="Q2" s="447"/>
      <c r="R2" s="447" t="s">
        <v>719</v>
      </c>
      <c r="S2" s="447"/>
      <c r="T2" s="437" t="s">
        <v>720</v>
      </c>
      <c r="U2" s="428" t="s">
        <v>721</v>
      </c>
      <c r="V2" s="447" t="s">
        <v>722</v>
      </c>
      <c r="W2" s="445" t="s">
        <v>723</v>
      </c>
      <c r="AF2" s="144" t="s">
        <v>921</v>
      </c>
      <c r="AG2" s="144" t="s">
        <v>921</v>
      </c>
    </row>
    <row r="3" spans="2:47" s="144" customFormat="1" ht="57" customHeight="1" x14ac:dyDescent="0.3">
      <c r="B3" s="445"/>
      <c r="C3" s="424"/>
      <c r="D3" s="424"/>
      <c r="E3" s="424"/>
      <c r="F3" s="424"/>
      <c r="G3" s="424"/>
      <c r="H3" s="424"/>
      <c r="I3" s="424"/>
      <c r="J3" s="424"/>
      <c r="K3" s="424"/>
      <c r="L3" s="424"/>
      <c r="M3" s="424"/>
      <c r="N3" s="424"/>
      <c r="O3" s="439"/>
      <c r="P3" s="133" t="s">
        <v>716</v>
      </c>
      <c r="Q3" s="133" t="s">
        <v>717</v>
      </c>
      <c r="R3" s="133" t="s">
        <v>716</v>
      </c>
      <c r="S3" s="133" t="s">
        <v>717</v>
      </c>
      <c r="T3" s="437"/>
      <c r="U3" s="429"/>
      <c r="V3" s="447"/>
      <c r="W3" s="445"/>
      <c r="AA3" s="162" t="s">
        <v>761</v>
      </c>
      <c r="AB3" s="163" t="s">
        <v>779</v>
      </c>
      <c r="AC3" s="233" t="s">
        <v>763</v>
      </c>
      <c r="AD3" s="163" t="s">
        <v>811</v>
      </c>
      <c r="AE3" s="233" t="s">
        <v>763</v>
      </c>
      <c r="AF3" s="234" t="s">
        <v>814</v>
      </c>
      <c r="AG3" s="234" t="s">
        <v>723</v>
      </c>
      <c r="AH3" s="235" t="s">
        <v>815</v>
      </c>
      <c r="AI3" s="235" t="s">
        <v>812</v>
      </c>
      <c r="AJ3" s="233" t="s">
        <v>763</v>
      </c>
      <c r="AK3" s="235" t="s">
        <v>807</v>
      </c>
      <c r="AL3" s="235" t="s">
        <v>808</v>
      </c>
      <c r="AM3" s="163" t="s">
        <v>816</v>
      </c>
      <c r="AN3" s="233" t="s">
        <v>763</v>
      </c>
      <c r="AO3" s="233" t="s">
        <v>455</v>
      </c>
      <c r="AP3" s="235" t="s">
        <v>813</v>
      </c>
      <c r="AQ3" s="233" t="s">
        <v>763</v>
      </c>
      <c r="AR3" s="235" t="s">
        <v>809</v>
      </c>
      <c r="AS3" s="235" t="s">
        <v>810</v>
      </c>
      <c r="AT3" s="220" t="s">
        <v>935</v>
      </c>
      <c r="AU3" s="233" t="s">
        <v>763</v>
      </c>
    </row>
    <row r="4" spans="2:47" ht="41.4" x14ac:dyDescent="0.3">
      <c r="B4" s="11">
        <v>1</v>
      </c>
      <c r="C4" s="17" t="s">
        <v>751</v>
      </c>
      <c r="D4" s="11" t="s">
        <v>377</v>
      </c>
      <c r="E4" s="6" t="s">
        <v>390</v>
      </c>
      <c r="F4" s="11" t="s">
        <v>83</v>
      </c>
      <c r="G4" s="6" t="s">
        <v>84</v>
      </c>
      <c r="H4" s="29">
        <v>44009</v>
      </c>
      <c r="I4" s="29">
        <v>44221</v>
      </c>
      <c r="J4" s="17" t="s">
        <v>89</v>
      </c>
      <c r="K4" s="6" t="s">
        <v>385</v>
      </c>
      <c r="L4" s="31" t="s">
        <v>458</v>
      </c>
      <c r="M4" s="141" t="s">
        <v>752</v>
      </c>
      <c r="N4" s="31" t="s">
        <v>457</v>
      </c>
      <c r="O4" s="141">
        <v>5201.4888920000003</v>
      </c>
      <c r="P4" s="31">
        <v>13.29</v>
      </c>
      <c r="Q4" s="31">
        <v>0</v>
      </c>
      <c r="R4" s="31">
        <v>0</v>
      </c>
      <c r="S4" s="31">
        <v>0</v>
      </c>
      <c r="T4" s="34">
        <v>0</v>
      </c>
      <c r="U4" s="34">
        <v>5990</v>
      </c>
      <c r="V4" s="14">
        <v>1050000</v>
      </c>
      <c r="W4" s="31" t="s">
        <v>90</v>
      </c>
      <c r="AA4" s="16" t="s">
        <v>386</v>
      </c>
      <c r="AB4" s="39">
        <f t="shared" ref="AB4:AB17" si="0">+SUMIFS(O:O,E:E,AA4)</f>
        <v>5858.8965420000004</v>
      </c>
      <c r="AC4" s="191">
        <f>+AB4/$AB$18</f>
        <v>4.4874133496042912E-2</v>
      </c>
      <c r="AD4" s="190">
        <f t="shared" ref="AD4:AD17" si="1">+SUMIFS(T:T,E:E,AA4)+SUMIFS(U:U,E:E,AA4)</f>
        <v>20150</v>
      </c>
      <c r="AE4" s="191">
        <f>+AD4/$AD$18</f>
        <v>0.11695193652673062</v>
      </c>
      <c r="AF4" s="39">
        <f t="shared" ref="AF4:AF17" si="2">+SUMIFS(V:V,E:E,AA4)</f>
        <v>2160000</v>
      </c>
      <c r="AG4" s="39">
        <f t="shared" ref="AG4:AG17" si="3">+SUMIFS(W:W,E:E,AA4)</f>
        <v>2196000</v>
      </c>
      <c r="AH4" s="44">
        <f t="shared" ref="AH4:AH17" si="4">+COUNTIFS(L:L,$L$4,E:E,AA4)</f>
        <v>1</v>
      </c>
      <c r="AI4" s="39">
        <f t="shared" ref="AI4:AI17" si="5">+SUMIFS(O:O,E:E,AA4,L:L,$L$4)</f>
        <v>2833.4888500000002</v>
      </c>
      <c r="AJ4" s="191">
        <f>+AI4/$AI$18</f>
        <v>3.2653509301634541E-2</v>
      </c>
      <c r="AK4" s="39">
        <f>+SUMIFS($P$4:$P$27,$E$4:$E$27,AA4,$L$4:$L$27,$L$4)</f>
        <v>5</v>
      </c>
      <c r="AL4" s="39">
        <f>+SUMIFS($R$4:$R$27,$E$4:$E$27,AA4,$L$4:$L$27,$L$4)</f>
        <v>5.5</v>
      </c>
      <c r="AM4" s="44">
        <f>+SUMIFS($U$4:$U$27,$E$4:$E$27,AA4)</f>
        <v>13300</v>
      </c>
      <c r="AN4" s="191">
        <f>+AM4/$AM$18</f>
        <v>9.5550782007715912E-2</v>
      </c>
      <c r="AO4" s="44">
        <f t="shared" ref="AO4:AO17" si="6">+COUNTIFS(L:L,$L$5,E:E,AA4)</f>
        <v>1</v>
      </c>
      <c r="AP4" s="39">
        <f t="shared" ref="AP4:AP17" si="7">+SUMIFS(O:O,E:E,AA4,L:L,$L$5)</f>
        <v>3025.4076920000002</v>
      </c>
      <c r="AQ4" s="191">
        <f>+AP4/$AP$18</f>
        <v>6.9091399992742275E-2</v>
      </c>
      <c r="AR4" s="39">
        <f>+SUMIFS($Q$4:$Q$27,$E$4:$E$27,AA4,$L$4:$L$27,$L$5)</f>
        <v>0</v>
      </c>
      <c r="AS4" s="39">
        <f>+SUMIFS($S$4:$S$27,$E$4:$E$27,AA4,$L$4:$L$27,$L$5)</f>
        <v>3</v>
      </c>
      <c r="AT4" s="44">
        <f>+SUMIFS($T$4:$T$27,$E$4:$E$27,AA4)</f>
        <v>6850</v>
      </c>
      <c r="AU4" s="191">
        <f>+AT4/$AT$18</f>
        <v>0.20694864048338368</v>
      </c>
    </row>
    <row r="5" spans="2:47" ht="55.2" x14ac:dyDescent="0.3">
      <c r="B5" s="6">
        <f>+B4+1</f>
        <v>2</v>
      </c>
      <c r="C5" s="57" t="s">
        <v>685</v>
      </c>
      <c r="D5" s="11" t="s">
        <v>377</v>
      </c>
      <c r="E5" s="6" t="s">
        <v>386</v>
      </c>
      <c r="F5" s="56" t="s">
        <v>143</v>
      </c>
      <c r="G5" s="56" t="s">
        <v>144</v>
      </c>
      <c r="H5" s="29">
        <v>43958</v>
      </c>
      <c r="I5" s="29">
        <v>44560</v>
      </c>
      <c r="J5" s="8" t="s">
        <v>250</v>
      </c>
      <c r="K5" s="6" t="s">
        <v>385</v>
      </c>
      <c r="L5" s="31" t="s">
        <v>455</v>
      </c>
      <c r="M5" s="141" t="s">
        <v>753</v>
      </c>
      <c r="N5" s="31" t="s">
        <v>456</v>
      </c>
      <c r="O5" s="141">
        <v>3025.4076920000002</v>
      </c>
      <c r="P5" s="22">
        <v>0</v>
      </c>
      <c r="Q5" s="22">
        <v>0</v>
      </c>
      <c r="R5" s="22">
        <v>0</v>
      </c>
      <c r="S5" s="22">
        <v>3</v>
      </c>
      <c r="T5" s="77">
        <v>6850</v>
      </c>
      <c r="U5" s="77">
        <v>0</v>
      </c>
      <c r="V5" s="31" t="s">
        <v>90</v>
      </c>
      <c r="W5" s="22">
        <v>900000</v>
      </c>
      <c r="AA5" s="3" t="s">
        <v>387</v>
      </c>
      <c r="AB5" s="39">
        <f t="shared" si="0"/>
        <v>0</v>
      </c>
      <c r="AC5" s="191">
        <f t="shared" ref="AC5:AC17" si="8">+AB5/$AB$18</f>
        <v>0</v>
      </c>
      <c r="AD5" s="190">
        <f t="shared" si="1"/>
        <v>0</v>
      </c>
      <c r="AE5" s="191">
        <f t="shared" ref="AE5:AE17" si="9">+AD5/$AD$18</f>
        <v>0</v>
      </c>
      <c r="AF5" s="39">
        <f t="shared" si="2"/>
        <v>0</v>
      </c>
      <c r="AG5" s="39">
        <f t="shared" si="3"/>
        <v>0</v>
      </c>
      <c r="AH5" s="44">
        <f t="shared" si="4"/>
        <v>0</v>
      </c>
      <c r="AI5" s="39">
        <f t="shared" si="5"/>
        <v>0</v>
      </c>
      <c r="AJ5" s="191">
        <f t="shared" ref="AJ5:AJ17" si="10">+AI5/$AI$18</f>
        <v>0</v>
      </c>
      <c r="AK5" s="39">
        <f t="shared" ref="AK5:AK17" si="11">+SUMIFS($P$4:$P$27,$E$4:$E$27,AA5,$L$4:$L$27,$L$4)</f>
        <v>0</v>
      </c>
      <c r="AL5" s="39">
        <f t="shared" ref="AL5:AL17" si="12">+SUMIFS($R$4:$R$27,$E$4:$E$27,AA5,$L$4:$L$27,$L$4)</f>
        <v>0</v>
      </c>
      <c r="AM5" s="44">
        <f t="shared" ref="AM5:AM17" si="13">+SUMIFS($U$4:$U$27,$E$4:$E$27,AA5)</f>
        <v>0</v>
      </c>
      <c r="AN5" s="191">
        <f t="shared" ref="AN5:AN17" si="14">+AM5/$AM$18</f>
        <v>0</v>
      </c>
      <c r="AO5" s="44">
        <f t="shared" si="6"/>
        <v>0</v>
      </c>
      <c r="AP5" s="39">
        <f t="shared" si="7"/>
        <v>0</v>
      </c>
      <c r="AQ5" s="191">
        <f t="shared" ref="AQ5:AQ17" si="15">+AP5/$AP$18</f>
        <v>0</v>
      </c>
      <c r="AR5" s="39">
        <f t="shared" ref="AR5:AR17" si="16">+SUMIFS($Q$4:$Q$27,$E$4:$E$27,AA5,$L$4:$L$27,$L$5)</f>
        <v>0</v>
      </c>
      <c r="AS5" s="39">
        <f t="shared" ref="AS5:AS17" si="17">+SUMIFS($S$4:$S$27,$E$4:$E$27,AA5,$L$4:$L$27,$L$5)</f>
        <v>0</v>
      </c>
      <c r="AT5" s="44">
        <f t="shared" ref="AT5:AT17" si="18">+SUMIFS($T$4:$T$27,$E$4:$E$27,AA5)</f>
        <v>0</v>
      </c>
      <c r="AU5" s="191">
        <f t="shared" ref="AU5:AU17" si="19">+AT5/$AT$18</f>
        <v>0</v>
      </c>
    </row>
    <row r="6" spans="2:47" ht="41.4" x14ac:dyDescent="0.3">
      <c r="B6" s="6">
        <f t="shared" ref="B6:B27" si="20">+B5+1</f>
        <v>3</v>
      </c>
      <c r="C6" s="57" t="s">
        <v>691</v>
      </c>
      <c r="D6" s="11" t="s">
        <v>377</v>
      </c>
      <c r="E6" s="6" t="s">
        <v>386</v>
      </c>
      <c r="F6" s="56" t="s">
        <v>145</v>
      </c>
      <c r="G6" s="56" t="s">
        <v>146</v>
      </c>
      <c r="H6" s="29">
        <v>44102</v>
      </c>
      <c r="I6" s="29">
        <v>44376</v>
      </c>
      <c r="J6" s="17" t="s">
        <v>147</v>
      </c>
      <c r="K6" s="6" t="s">
        <v>384</v>
      </c>
      <c r="L6" s="31" t="s">
        <v>458</v>
      </c>
      <c r="M6" s="141" t="s">
        <v>709</v>
      </c>
      <c r="N6" s="31" t="s">
        <v>456</v>
      </c>
      <c r="O6" s="141">
        <v>2833.4888500000002</v>
      </c>
      <c r="P6" s="60">
        <v>5</v>
      </c>
      <c r="Q6" s="60">
        <v>0</v>
      </c>
      <c r="R6" s="60">
        <v>5.5</v>
      </c>
      <c r="S6" s="60">
        <v>0</v>
      </c>
      <c r="T6" s="34">
        <v>0</v>
      </c>
      <c r="U6" s="34">
        <v>13300</v>
      </c>
      <c r="V6" s="60">
        <v>2160000</v>
      </c>
      <c r="W6" s="60">
        <v>1296000</v>
      </c>
      <c r="AA6" s="16" t="s">
        <v>398</v>
      </c>
      <c r="AB6" s="39">
        <f t="shared" si="0"/>
        <v>1398.0113040000001</v>
      </c>
      <c r="AC6" s="191">
        <f t="shared" si="8"/>
        <v>1.0707570177243287E-2</v>
      </c>
      <c r="AD6" s="190">
        <f t="shared" si="1"/>
        <v>7450</v>
      </c>
      <c r="AE6" s="191">
        <f t="shared" si="9"/>
        <v>4.324029415008155E-2</v>
      </c>
      <c r="AF6" s="39">
        <f t="shared" si="2"/>
        <v>1331500</v>
      </c>
      <c r="AG6" s="39">
        <f t="shared" si="3"/>
        <v>0</v>
      </c>
      <c r="AH6" s="44">
        <f t="shared" si="4"/>
        <v>1</v>
      </c>
      <c r="AI6" s="39">
        <f t="shared" si="5"/>
        <v>1398.0113040000001</v>
      </c>
      <c r="AJ6" s="191">
        <f t="shared" si="10"/>
        <v>1.6110871627024129E-2</v>
      </c>
      <c r="AK6" s="39">
        <f t="shared" si="11"/>
        <v>4.117</v>
      </c>
      <c r="AL6" s="39">
        <f t="shared" si="12"/>
        <v>0</v>
      </c>
      <c r="AM6" s="44">
        <f t="shared" si="13"/>
        <v>7450</v>
      </c>
      <c r="AN6" s="191">
        <f t="shared" si="14"/>
        <v>5.3522806462968683E-2</v>
      </c>
      <c r="AO6" s="44">
        <f t="shared" si="6"/>
        <v>0</v>
      </c>
      <c r="AP6" s="39">
        <f t="shared" si="7"/>
        <v>0</v>
      </c>
      <c r="AQ6" s="191">
        <f t="shared" si="15"/>
        <v>0</v>
      </c>
      <c r="AR6" s="39">
        <f t="shared" si="16"/>
        <v>0</v>
      </c>
      <c r="AS6" s="39">
        <f t="shared" si="17"/>
        <v>0</v>
      </c>
      <c r="AT6" s="44">
        <f t="shared" si="18"/>
        <v>0</v>
      </c>
      <c r="AU6" s="191">
        <f t="shared" si="19"/>
        <v>0</v>
      </c>
    </row>
    <row r="7" spans="2:47" ht="55.2" x14ac:dyDescent="0.3">
      <c r="B7" s="6">
        <f t="shared" si="20"/>
        <v>4</v>
      </c>
      <c r="C7" s="57" t="s">
        <v>692</v>
      </c>
      <c r="D7" s="11" t="s">
        <v>377</v>
      </c>
      <c r="E7" s="11" t="s">
        <v>399</v>
      </c>
      <c r="F7" s="6" t="s">
        <v>148</v>
      </c>
      <c r="G7" s="26" t="s">
        <v>149</v>
      </c>
      <c r="H7" s="10">
        <v>44334</v>
      </c>
      <c r="I7" s="10">
        <v>44546</v>
      </c>
      <c r="J7" s="17" t="s">
        <v>160</v>
      </c>
      <c r="K7" s="6" t="s">
        <v>385</v>
      </c>
      <c r="L7" s="31" t="s">
        <v>455</v>
      </c>
      <c r="M7" s="141" t="s">
        <v>754</v>
      </c>
      <c r="N7" s="31" t="s">
        <v>457</v>
      </c>
      <c r="O7" s="141">
        <v>1373.211</v>
      </c>
      <c r="P7" s="25">
        <v>0</v>
      </c>
      <c r="Q7" s="25">
        <v>9.6280000000000001</v>
      </c>
      <c r="R7" s="25">
        <v>0</v>
      </c>
      <c r="S7" s="25">
        <v>0</v>
      </c>
      <c r="T7" s="20">
        <v>4200</v>
      </c>
      <c r="U7" s="20">
        <v>0</v>
      </c>
      <c r="V7" s="25">
        <v>904640</v>
      </c>
      <c r="W7" s="25" t="s">
        <v>90</v>
      </c>
      <c r="AA7" s="3" t="s">
        <v>388</v>
      </c>
      <c r="AB7" s="39">
        <f t="shared" si="0"/>
        <v>2164.4826520000001</v>
      </c>
      <c r="AC7" s="191">
        <f t="shared" si="8"/>
        <v>1.6578084760404527E-2</v>
      </c>
      <c r="AD7" s="190">
        <f t="shared" si="1"/>
        <v>10550</v>
      </c>
      <c r="AE7" s="191">
        <f t="shared" si="9"/>
        <v>6.1232899769578568E-2</v>
      </c>
      <c r="AF7" s="39">
        <f t="shared" si="2"/>
        <v>1985500</v>
      </c>
      <c r="AG7" s="39">
        <f t="shared" si="3"/>
        <v>0</v>
      </c>
      <c r="AH7" s="44">
        <f t="shared" si="4"/>
        <v>1</v>
      </c>
      <c r="AI7" s="39">
        <f t="shared" si="5"/>
        <v>2164.4826520000001</v>
      </c>
      <c r="AJ7" s="191">
        <f t="shared" si="10"/>
        <v>2.4943791259425141E-2</v>
      </c>
      <c r="AK7" s="39">
        <f t="shared" si="11"/>
        <v>12.5</v>
      </c>
      <c r="AL7" s="39">
        <f t="shared" si="12"/>
        <v>0</v>
      </c>
      <c r="AM7" s="44">
        <f t="shared" si="13"/>
        <v>10550</v>
      </c>
      <c r="AN7" s="191">
        <f t="shared" si="14"/>
        <v>7.5794041367022766E-2</v>
      </c>
      <c r="AO7" s="44">
        <f t="shared" si="6"/>
        <v>0</v>
      </c>
      <c r="AP7" s="39">
        <f t="shared" si="7"/>
        <v>0</v>
      </c>
      <c r="AQ7" s="191">
        <f t="shared" si="15"/>
        <v>0</v>
      </c>
      <c r="AR7" s="39">
        <f t="shared" si="16"/>
        <v>0</v>
      </c>
      <c r="AS7" s="39">
        <f t="shared" si="17"/>
        <v>0</v>
      </c>
      <c r="AT7" s="44">
        <f t="shared" si="18"/>
        <v>0</v>
      </c>
      <c r="AU7" s="191">
        <f t="shared" si="19"/>
        <v>0</v>
      </c>
    </row>
    <row r="8" spans="2:47" ht="55.2" x14ac:dyDescent="0.3">
      <c r="B8" s="6">
        <f t="shared" si="20"/>
        <v>5</v>
      </c>
      <c r="C8" s="57" t="s">
        <v>693</v>
      </c>
      <c r="D8" s="11" t="s">
        <v>377</v>
      </c>
      <c r="E8" s="11" t="s">
        <v>399</v>
      </c>
      <c r="F8" s="6" t="s">
        <v>148</v>
      </c>
      <c r="G8" s="26" t="s">
        <v>149</v>
      </c>
      <c r="H8" s="10">
        <v>44319</v>
      </c>
      <c r="I8" s="10">
        <v>44470</v>
      </c>
      <c r="J8" s="17" t="s">
        <v>161</v>
      </c>
      <c r="K8" s="6" t="s">
        <v>385</v>
      </c>
      <c r="L8" s="31" t="s">
        <v>458</v>
      </c>
      <c r="M8" s="141" t="s">
        <v>710</v>
      </c>
      <c r="N8" s="31" t="s">
        <v>456</v>
      </c>
      <c r="O8" s="141">
        <v>1312.31566785</v>
      </c>
      <c r="P8" s="25">
        <v>10.260999999999999</v>
      </c>
      <c r="Q8" s="25">
        <v>0</v>
      </c>
      <c r="R8" s="25">
        <v>0</v>
      </c>
      <c r="S8" s="25">
        <v>0</v>
      </c>
      <c r="T8" s="20">
        <v>0</v>
      </c>
      <c r="U8" s="20">
        <v>1050</v>
      </c>
      <c r="V8" s="25">
        <v>297600</v>
      </c>
      <c r="W8" s="25" t="s">
        <v>90</v>
      </c>
      <c r="AA8" s="3" t="s">
        <v>389</v>
      </c>
      <c r="AB8" s="39">
        <f t="shared" si="0"/>
        <v>51911.898065999994</v>
      </c>
      <c r="AC8" s="191">
        <f t="shared" si="8"/>
        <v>0.39760071323113921</v>
      </c>
      <c r="AD8" s="190">
        <f t="shared" si="1"/>
        <v>47915</v>
      </c>
      <c r="AE8" s="191">
        <f t="shared" si="9"/>
        <v>0.27810183814780637</v>
      </c>
      <c r="AF8" s="39">
        <f t="shared" si="2"/>
        <v>11895070</v>
      </c>
      <c r="AG8" s="39">
        <f t="shared" si="3"/>
        <v>0</v>
      </c>
      <c r="AH8" s="44">
        <f t="shared" si="4"/>
        <v>3</v>
      </c>
      <c r="AI8" s="39">
        <f t="shared" si="5"/>
        <v>20938.542256000001</v>
      </c>
      <c r="AJ8" s="191">
        <f t="shared" si="10"/>
        <v>0.24129859707016804</v>
      </c>
      <c r="AK8" s="39">
        <f t="shared" si="11"/>
        <v>18.2</v>
      </c>
      <c r="AL8" s="39">
        <f t="shared" si="12"/>
        <v>0</v>
      </c>
      <c r="AM8" s="44">
        <f t="shared" si="13"/>
        <v>29115</v>
      </c>
      <c r="AN8" s="191">
        <f t="shared" si="14"/>
        <v>0.20917000136501118</v>
      </c>
      <c r="AO8" s="44">
        <f t="shared" si="6"/>
        <v>4</v>
      </c>
      <c r="AP8" s="39">
        <f t="shared" si="7"/>
        <v>30973.355810000001</v>
      </c>
      <c r="AQ8" s="191">
        <f t="shared" si="15"/>
        <v>0.70734021105484701</v>
      </c>
      <c r="AR8" s="39">
        <f t="shared" si="16"/>
        <v>10.97</v>
      </c>
      <c r="AS8" s="39">
        <f t="shared" si="17"/>
        <v>0</v>
      </c>
      <c r="AT8" s="44">
        <f t="shared" si="18"/>
        <v>18800</v>
      </c>
      <c r="AU8" s="191">
        <f t="shared" si="19"/>
        <v>0.56797583081571001</v>
      </c>
    </row>
    <row r="9" spans="2:47" ht="27.6" x14ac:dyDescent="0.3">
      <c r="B9" s="6">
        <f t="shared" si="20"/>
        <v>6</v>
      </c>
      <c r="C9" s="75" t="s">
        <v>711</v>
      </c>
      <c r="D9" s="11" t="s">
        <v>377</v>
      </c>
      <c r="E9" s="11" t="s">
        <v>388</v>
      </c>
      <c r="F9" s="11" t="s">
        <v>190</v>
      </c>
      <c r="G9" s="6" t="s">
        <v>191</v>
      </c>
      <c r="H9" s="10" t="s">
        <v>199</v>
      </c>
      <c r="I9" s="10" t="s">
        <v>75</v>
      </c>
      <c r="J9" s="17" t="s">
        <v>200</v>
      </c>
      <c r="K9" s="6" t="s">
        <v>385</v>
      </c>
      <c r="L9" s="31" t="s">
        <v>458</v>
      </c>
      <c r="M9" s="141" t="s">
        <v>712</v>
      </c>
      <c r="N9" s="31" t="s">
        <v>456</v>
      </c>
      <c r="O9" s="141">
        <v>2164.4826520000001</v>
      </c>
      <c r="P9" s="51">
        <v>12.5</v>
      </c>
      <c r="Q9" s="42">
        <v>0</v>
      </c>
      <c r="R9" s="42">
        <v>0</v>
      </c>
      <c r="S9" s="42">
        <v>0</v>
      </c>
      <c r="T9" s="20">
        <v>0</v>
      </c>
      <c r="U9" s="20">
        <v>10550</v>
      </c>
      <c r="V9" s="42">
        <v>1985500</v>
      </c>
      <c r="W9" s="25" t="s">
        <v>90</v>
      </c>
      <c r="AA9" s="3" t="s">
        <v>397</v>
      </c>
      <c r="AB9" s="39">
        <f t="shared" si="0"/>
        <v>27800.511962999997</v>
      </c>
      <c r="AC9" s="191">
        <f t="shared" si="8"/>
        <v>0.21292813009122422</v>
      </c>
      <c r="AD9" s="190">
        <f t="shared" si="1"/>
        <v>44345</v>
      </c>
      <c r="AE9" s="191">
        <f t="shared" si="9"/>
        <v>0.25738132135374042</v>
      </c>
      <c r="AF9" s="39">
        <f t="shared" si="2"/>
        <v>4486700</v>
      </c>
      <c r="AG9" s="39">
        <f t="shared" si="3"/>
        <v>370360</v>
      </c>
      <c r="AH9" s="44">
        <f t="shared" si="4"/>
        <v>4</v>
      </c>
      <c r="AI9" s="39">
        <f t="shared" si="5"/>
        <v>19384.002047000002</v>
      </c>
      <c r="AJ9" s="191">
        <f t="shared" si="10"/>
        <v>0.22338386514018485</v>
      </c>
      <c r="AK9" s="39">
        <f t="shared" si="11"/>
        <v>65.223000000000013</v>
      </c>
      <c r="AL9" s="39">
        <f t="shared" si="12"/>
        <v>0</v>
      </c>
      <c r="AM9" s="44">
        <f t="shared" si="13"/>
        <v>41095</v>
      </c>
      <c r="AN9" s="191">
        <f t="shared" si="14"/>
        <v>0.29523754786519435</v>
      </c>
      <c r="AO9" s="44">
        <f t="shared" si="6"/>
        <v>2</v>
      </c>
      <c r="AP9" s="39">
        <f t="shared" si="7"/>
        <v>8416.5099159999991</v>
      </c>
      <c r="AQ9" s="191">
        <f t="shared" si="15"/>
        <v>0.1922082946661714</v>
      </c>
      <c r="AR9" s="39">
        <f t="shared" si="16"/>
        <v>0</v>
      </c>
      <c r="AS9" s="39">
        <f t="shared" si="17"/>
        <v>14.280000000000001</v>
      </c>
      <c r="AT9" s="44">
        <f t="shared" si="18"/>
        <v>3250</v>
      </c>
      <c r="AU9" s="191">
        <f t="shared" si="19"/>
        <v>9.8187311178247735E-2</v>
      </c>
    </row>
    <row r="10" spans="2:47" ht="41.4" x14ac:dyDescent="0.3">
      <c r="B10" s="6">
        <f t="shared" si="20"/>
        <v>7</v>
      </c>
      <c r="C10" s="17" t="s">
        <v>694</v>
      </c>
      <c r="D10" s="11" t="s">
        <v>377</v>
      </c>
      <c r="E10" s="11" t="s">
        <v>391</v>
      </c>
      <c r="F10" s="11" t="s">
        <v>244</v>
      </c>
      <c r="G10" s="11" t="s">
        <v>245</v>
      </c>
      <c r="H10" s="29">
        <v>44197</v>
      </c>
      <c r="I10" s="29">
        <v>44561</v>
      </c>
      <c r="J10" s="17" t="s">
        <v>246</v>
      </c>
      <c r="K10" s="6" t="s">
        <v>385</v>
      </c>
      <c r="L10" s="31" t="s">
        <v>458</v>
      </c>
      <c r="M10" s="141" t="s">
        <v>755</v>
      </c>
      <c r="N10" s="31" t="s">
        <v>456</v>
      </c>
      <c r="O10" s="141">
        <v>2961.6899965500002</v>
      </c>
      <c r="P10" s="31">
        <v>22.5</v>
      </c>
      <c r="Q10" s="31">
        <v>0</v>
      </c>
      <c r="R10" s="31">
        <v>0</v>
      </c>
      <c r="S10" s="31">
        <v>0</v>
      </c>
      <c r="T10" s="34">
        <v>0</v>
      </c>
      <c r="U10" s="34">
        <v>3675</v>
      </c>
      <c r="V10" s="115">
        <v>840000</v>
      </c>
      <c r="W10" s="25" t="s">
        <v>90</v>
      </c>
      <c r="AA10" s="3" t="s">
        <v>391</v>
      </c>
      <c r="AB10" s="39">
        <f t="shared" si="0"/>
        <v>2961.6899965500002</v>
      </c>
      <c r="AC10" s="191">
        <f t="shared" si="8"/>
        <v>2.2684010773419722E-2</v>
      </c>
      <c r="AD10" s="190">
        <f t="shared" si="1"/>
        <v>3675</v>
      </c>
      <c r="AE10" s="191">
        <f t="shared" si="9"/>
        <v>2.1329943758597272E-2</v>
      </c>
      <c r="AF10" s="39">
        <f t="shared" si="2"/>
        <v>840000</v>
      </c>
      <c r="AG10" s="39">
        <f t="shared" si="3"/>
        <v>0</v>
      </c>
      <c r="AH10" s="44">
        <f t="shared" si="4"/>
        <v>1</v>
      </c>
      <c r="AI10" s="39">
        <f t="shared" si="5"/>
        <v>2961.6899965500002</v>
      </c>
      <c r="AJ10" s="191">
        <f t="shared" si="10"/>
        <v>3.4130916679239232E-2</v>
      </c>
      <c r="AK10" s="39">
        <f t="shared" si="11"/>
        <v>22.5</v>
      </c>
      <c r="AL10" s="39">
        <f t="shared" si="12"/>
        <v>0</v>
      </c>
      <c r="AM10" s="44">
        <f t="shared" si="13"/>
        <v>3675</v>
      </c>
      <c r="AN10" s="191">
        <f t="shared" si="14"/>
        <v>2.6402189765289921E-2</v>
      </c>
      <c r="AO10" s="44">
        <f t="shared" si="6"/>
        <v>0</v>
      </c>
      <c r="AP10" s="39">
        <f t="shared" si="7"/>
        <v>0</v>
      </c>
      <c r="AQ10" s="191">
        <f t="shared" si="15"/>
        <v>0</v>
      </c>
      <c r="AR10" s="39">
        <f t="shared" si="16"/>
        <v>0</v>
      </c>
      <c r="AS10" s="39">
        <f t="shared" si="17"/>
        <v>0</v>
      </c>
      <c r="AT10" s="44">
        <f t="shared" si="18"/>
        <v>0</v>
      </c>
      <c r="AU10" s="191">
        <f t="shared" si="19"/>
        <v>0</v>
      </c>
    </row>
    <row r="11" spans="2:47" ht="41.4" x14ac:dyDescent="0.3">
      <c r="B11" s="6">
        <f t="shared" si="20"/>
        <v>8</v>
      </c>
      <c r="C11" s="8" t="s">
        <v>695</v>
      </c>
      <c r="D11" s="11" t="s">
        <v>377</v>
      </c>
      <c r="E11" s="11" t="s">
        <v>389</v>
      </c>
      <c r="F11" s="8" t="s">
        <v>251</v>
      </c>
      <c r="G11" s="6" t="s">
        <v>252</v>
      </c>
      <c r="H11" s="29">
        <v>44413</v>
      </c>
      <c r="I11" s="29">
        <v>44540</v>
      </c>
      <c r="J11" s="8" t="s">
        <v>260</v>
      </c>
      <c r="K11" s="6" t="s">
        <v>385</v>
      </c>
      <c r="L11" s="31" t="s">
        <v>455</v>
      </c>
      <c r="M11" s="143" t="s">
        <v>713</v>
      </c>
      <c r="N11" s="31" t="s">
        <v>457</v>
      </c>
      <c r="O11" s="141">
        <v>11068.876560000001</v>
      </c>
      <c r="P11" s="42">
        <v>0</v>
      </c>
      <c r="Q11" s="42">
        <v>3.5</v>
      </c>
      <c r="R11" s="42">
        <v>0</v>
      </c>
      <c r="S11" s="42">
        <v>0</v>
      </c>
      <c r="T11" s="20">
        <v>4700</v>
      </c>
      <c r="U11" s="13">
        <v>0</v>
      </c>
      <c r="V11" s="14">
        <v>720230</v>
      </c>
      <c r="W11" s="25" t="s">
        <v>90</v>
      </c>
      <c r="AA11" s="3" t="s">
        <v>390</v>
      </c>
      <c r="AB11" s="39">
        <f t="shared" si="0"/>
        <v>5201.4888920000003</v>
      </c>
      <c r="AC11" s="191">
        <f t="shared" si="8"/>
        <v>3.9838953503369835E-2</v>
      </c>
      <c r="AD11" s="190">
        <f t="shared" si="1"/>
        <v>5990</v>
      </c>
      <c r="AE11" s="191">
        <f t="shared" si="9"/>
        <v>3.4766357309931335E-2</v>
      </c>
      <c r="AF11" s="39">
        <f t="shared" si="2"/>
        <v>1050000</v>
      </c>
      <c r="AG11" s="39">
        <f t="shared" si="3"/>
        <v>0</v>
      </c>
      <c r="AH11" s="44">
        <f t="shared" si="4"/>
        <v>1</v>
      </c>
      <c r="AI11" s="39">
        <f t="shared" si="5"/>
        <v>5201.4888920000003</v>
      </c>
      <c r="AJ11" s="191">
        <f t="shared" si="10"/>
        <v>5.99426625297187E-2</v>
      </c>
      <c r="AK11" s="39">
        <f t="shared" si="11"/>
        <v>13.29</v>
      </c>
      <c r="AL11" s="39">
        <f t="shared" si="12"/>
        <v>0</v>
      </c>
      <c r="AM11" s="44">
        <f t="shared" si="13"/>
        <v>5990</v>
      </c>
      <c r="AN11" s="191">
        <f t="shared" si="14"/>
        <v>4.3033773250091598E-2</v>
      </c>
      <c r="AO11" s="44">
        <f t="shared" si="6"/>
        <v>0</v>
      </c>
      <c r="AP11" s="39">
        <f t="shared" si="7"/>
        <v>0</v>
      </c>
      <c r="AQ11" s="191">
        <f t="shared" si="15"/>
        <v>0</v>
      </c>
      <c r="AR11" s="39">
        <f t="shared" si="16"/>
        <v>0</v>
      </c>
      <c r="AS11" s="39">
        <f t="shared" si="17"/>
        <v>0</v>
      </c>
      <c r="AT11" s="44">
        <f t="shared" si="18"/>
        <v>0</v>
      </c>
      <c r="AU11" s="191">
        <f t="shared" si="19"/>
        <v>0</v>
      </c>
    </row>
    <row r="12" spans="2:47" ht="41.4" x14ac:dyDescent="0.3">
      <c r="B12" s="6">
        <f t="shared" si="20"/>
        <v>9</v>
      </c>
      <c r="C12" s="8" t="s">
        <v>696</v>
      </c>
      <c r="D12" s="11" t="s">
        <v>377</v>
      </c>
      <c r="E12" s="11" t="s">
        <v>389</v>
      </c>
      <c r="F12" s="8" t="s">
        <v>251</v>
      </c>
      <c r="G12" s="6" t="s">
        <v>252</v>
      </c>
      <c r="H12" s="29">
        <v>44413</v>
      </c>
      <c r="I12" s="29">
        <v>44558</v>
      </c>
      <c r="J12" s="8" t="s">
        <v>261</v>
      </c>
      <c r="K12" s="6" t="s">
        <v>385</v>
      </c>
      <c r="L12" s="31" t="s">
        <v>455</v>
      </c>
      <c r="M12" s="143" t="s">
        <v>713</v>
      </c>
      <c r="N12" s="31" t="s">
        <v>457</v>
      </c>
      <c r="O12" s="141">
        <v>7822.8318259999996</v>
      </c>
      <c r="P12" s="42"/>
      <c r="Q12" s="42">
        <v>1.3</v>
      </c>
      <c r="R12" s="42">
        <v>0</v>
      </c>
      <c r="S12" s="42">
        <v>0</v>
      </c>
      <c r="T12" s="20">
        <v>4600</v>
      </c>
      <c r="U12" s="13">
        <v>0</v>
      </c>
      <c r="V12" s="14">
        <v>1928545</v>
      </c>
      <c r="W12" s="25" t="s">
        <v>90</v>
      </c>
      <c r="AA12" s="177" t="s">
        <v>399</v>
      </c>
      <c r="AB12" s="39">
        <f t="shared" si="0"/>
        <v>2685.5266678500002</v>
      </c>
      <c r="AC12" s="191">
        <f t="shared" si="8"/>
        <v>2.05688360148354E-2</v>
      </c>
      <c r="AD12" s="190">
        <f t="shared" si="1"/>
        <v>5250</v>
      </c>
      <c r="AE12" s="191">
        <f t="shared" si="9"/>
        <v>3.0471348226567534E-2</v>
      </c>
      <c r="AF12" s="39">
        <f t="shared" si="2"/>
        <v>1202240</v>
      </c>
      <c r="AG12" s="39">
        <f t="shared" si="3"/>
        <v>0</v>
      </c>
      <c r="AH12" s="44">
        <f t="shared" si="4"/>
        <v>1</v>
      </c>
      <c r="AI12" s="39">
        <f t="shared" si="5"/>
        <v>1312.31566785</v>
      </c>
      <c r="AJ12" s="191">
        <f t="shared" si="10"/>
        <v>1.5123303508612964E-2</v>
      </c>
      <c r="AK12" s="39">
        <f t="shared" si="11"/>
        <v>10.260999999999999</v>
      </c>
      <c r="AL12" s="39">
        <f t="shared" si="12"/>
        <v>0</v>
      </c>
      <c r="AM12" s="44">
        <f t="shared" si="13"/>
        <v>1050</v>
      </c>
      <c r="AN12" s="191">
        <f t="shared" si="14"/>
        <v>7.5434827900828349E-3</v>
      </c>
      <c r="AO12" s="44">
        <f t="shared" si="6"/>
        <v>1</v>
      </c>
      <c r="AP12" s="39">
        <f t="shared" si="7"/>
        <v>1373.211</v>
      </c>
      <c r="AQ12" s="191">
        <f t="shared" si="15"/>
        <v>3.1360094286239287E-2</v>
      </c>
      <c r="AR12" s="39">
        <f t="shared" si="16"/>
        <v>9.6280000000000001</v>
      </c>
      <c r="AS12" s="39">
        <f t="shared" si="17"/>
        <v>0</v>
      </c>
      <c r="AT12" s="44">
        <f t="shared" si="18"/>
        <v>4200</v>
      </c>
      <c r="AU12" s="191">
        <f t="shared" si="19"/>
        <v>0.12688821752265861</v>
      </c>
    </row>
    <row r="13" spans="2:47" ht="27.6" x14ac:dyDescent="0.3">
      <c r="B13" s="6">
        <f t="shared" si="20"/>
        <v>10</v>
      </c>
      <c r="C13" s="8" t="s">
        <v>697</v>
      </c>
      <c r="D13" s="11" t="s">
        <v>377</v>
      </c>
      <c r="E13" s="11" t="s">
        <v>389</v>
      </c>
      <c r="F13" s="8" t="s">
        <v>251</v>
      </c>
      <c r="G13" s="6" t="s">
        <v>252</v>
      </c>
      <c r="H13" s="29">
        <v>44413</v>
      </c>
      <c r="I13" s="29">
        <v>44558</v>
      </c>
      <c r="J13" s="8" t="s">
        <v>262</v>
      </c>
      <c r="K13" s="6" t="s">
        <v>385</v>
      </c>
      <c r="L13" s="31" t="s">
        <v>455</v>
      </c>
      <c r="M13" s="143" t="s">
        <v>713</v>
      </c>
      <c r="N13" s="31" t="s">
        <v>457</v>
      </c>
      <c r="O13" s="141">
        <v>7177.9890830000004</v>
      </c>
      <c r="P13" s="14">
        <v>0</v>
      </c>
      <c r="Q13" s="14">
        <v>3.6</v>
      </c>
      <c r="R13" s="42">
        <v>0</v>
      </c>
      <c r="S13" s="42">
        <v>0</v>
      </c>
      <c r="T13" s="20">
        <v>5500</v>
      </c>
      <c r="U13" s="20">
        <v>0</v>
      </c>
      <c r="V13" s="14">
        <v>1182000</v>
      </c>
      <c r="W13" s="25" t="s">
        <v>90</v>
      </c>
      <c r="AA13" s="3" t="s">
        <v>392</v>
      </c>
      <c r="AB13" s="39">
        <f t="shared" si="0"/>
        <v>0</v>
      </c>
      <c r="AC13" s="191">
        <f t="shared" si="8"/>
        <v>0</v>
      </c>
      <c r="AD13" s="190">
        <f t="shared" si="1"/>
        <v>0</v>
      </c>
      <c r="AE13" s="191">
        <f t="shared" si="9"/>
        <v>0</v>
      </c>
      <c r="AF13" s="39">
        <f t="shared" si="2"/>
        <v>0</v>
      </c>
      <c r="AG13" s="39">
        <f t="shared" si="3"/>
        <v>0</v>
      </c>
      <c r="AH13" s="44">
        <f t="shared" si="4"/>
        <v>0</v>
      </c>
      <c r="AI13" s="39">
        <f t="shared" si="5"/>
        <v>0</v>
      </c>
      <c r="AJ13" s="191">
        <f t="shared" si="10"/>
        <v>0</v>
      </c>
      <c r="AK13" s="39">
        <f t="shared" si="11"/>
        <v>0</v>
      </c>
      <c r="AL13" s="39">
        <f t="shared" si="12"/>
        <v>0</v>
      </c>
      <c r="AM13" s="44">
        <f t="shared" si="13"/>
        <v>0</v>
      </c>
      <c r="AN13" s="191">
        <f t="shared" si="14"/>
        <v>0</v>
      </c>
      <c r="AO13" s="44">
        <f t="shared" si="6"/>
        <v>0</v>
      </c>
      <c r="AP13" s="39">
        <f t="shared" si="7"/>
        <v>0</v>
      </c>
      <c r="AQ13" s="191">
        <f t="shared" si="15"/>
        <v>0</v>
      </c>
      <c r="AR13" s="39">
        <f t="shared" si="16"/>
        <v>0</v>
      </c>
      <c r="AS13" s="39">
        <f t="shared" si="17"/>
        <v>0</v>
      </c>
      <c r="AT13" s="44">
        <f t="shared" si="18"/>
        <v>0</v>
      </c>
      <c r="AU13" s="191">
        <f t="shared" si="19"/>
        <v>0</v>
      </c>
    </row>
    <row r="14" spans="2:47" ht="41.4" x14ac:dyDescent="0.3">
      <c r="B14" s="6">
        <f t="shared" si="20"/>
        <v>11</v>
      </c>
      <c r="C14" s="8" t="s">
        <v>698</v>
      </c>
      <c r="D14" s="11" t="s">
        <v>377</v>
      </c>
      <c r="E14" s="11" t="s">
        <v>389</v>
      </c>
      <c r="F14" s="8" t="s">
        <v>251</v>
      </c>
      <c r="G14" s="6" t="s">
        <v>252</v>
      </c>
      <c r="H14" s="29">
        <v>44413</v>
      </c>
      <c r="I14" s="29">
        <v>44558</v>
      </c>
      <c r="J14" s="8" t="s">
        <v>263</v>
      </c>
      <c r="K14" s="6" t="s">
        <v>385</v>
      </c>
      <c r="L14" s="31" t="s">
        <v>458</v>
      </c>
      <c r="M14" s="143" t="s">
        <v>689</v>
      </c>
      <c r="N14" s="31" t="s">
        <v>457</v>
      </c>
      <c r="O14" s="141">
        <v>6378.9033220000001</v>
      </c>
      <c r="P14" s="22">
        <v>9.6</v>
      </c>
      <c r="Q14" s="14">
        <v>0</v>
      </c>
      <c r="R14" s="42">
        <v>0</v>
      </c>
      <c r="S14" s="42">
        <v>0</v>
      </c>
      <c r="T14" s="20"/>
      <c r="U14" s="20">
        <v>19900</v>
      </c>
      <c r="V14" s="14">
        <v>2907000</v>
      </c>
      <c r="W14" s="25" t="s">
        <v>90</v>
      </c>
      <c r="AA14" s="3" t="s">
        <v>394</v>
      </c>
      <c r="AB14" s="39">
        <f t="shared" si="0"/>
        <v>4044.1585540000001</v>
      </c>
      <c r="AC14" s="191">
        <f t="shared" si="8"/>
        <v>3.0974793552065397E-2</v>
      </c>
      <c r="AD14" s="190">
        <f t="shared" si="1"/>
        <v>3150</v>
      </c>
      <c r="AE14" s="191">
        <f t="shared" si="9"/>
        <v>1.8282808935940521E-2</v>
      </c>
      <c r="AF14" s="39">
        <f t="shared" si="2"/>
        <v>873250</v>
      </c>
      <c r="AG14" s="39">
        <f t="shared" si="3"/>
        <v>0</v>
      </c>
      <c r="AH14" s="44">
        <f t="shared" si="4"/>
        <v>1</v>
      </c>
      <c r="AI14" s="39">
        <f t="shared" si="5"/>
        <v>4044.1585540000001</v>
      </c>
      <c r="AJ14" s="191">
        <f t="shared" si="10"/>
        <v>4.6605430954959955E-2</v>
      </c>
      <c r="AK14" s="39">
        <f t="shared" si="11"/>
        <v>16.100000000000001</v>
      </c>
      <c r="AL14" s="39">
        <f t="shared" si="12"/>
        <v>0</v>
      </c>
      <c r="AM14" s="44">
        <f t="shared" si="13"/>
        <v>3150</v>
      </c>
      <c r="AN14" s="191">
        <f t="shared" si="14"/>
        <v>2.2630448370248503E-2</v>
      </c>
      <c r="AO14" s="44">
        <f t="shared" si="6"/>
        <v>0</v>
      </c>
      <c r="AP14" s="39">
        <f t="shared" si="7"/>
        <v>0</v>
      </c>
      <c r="AQ14" s="191">
        <f t="shared" si="15"/>
        <v>0</v>
      </c>
      <c r="AR14" s="39">
        <f t="shared" si="16"/>
        <v>0</v>
      </c>
      <c r="AS14" s="39">
        <f t="shared" si="17"/>
        <v>0</v>
      </c>
      <c r="AT14" s="44">
        <f t="shared" si="18"/>
        <v>0</v>
      </c>
      <c r="AU14" s="191">
        <f t="shared" si="19"/>
        <v>0</v>
      </c>
    </row>
    <row r="15" spans="2:47" ht="55.2" x14ac:dyDescent="0.3">
      <c r="B15" s="6">
        <f t="shared" si="20"/>
        <v>12</v>
      </c>
      <c r="C15" s="8" t="s">
        <v>699</v>
      </c>
      <c r="D15" s="11" t="s">
        <v>377</v>
      </c>
      <c r="E15" s="11" t="s">
        <v>389</v>
      </c>
      <c r="F15" s="8" t="s">
        <v>251</v>
      </c>
      <c r="G15" s="6" t="s">
        <v>252</v>
      </c>
      <c r="H15" s="29">
        <v>44413</v>
      </c>
      <c r="I15" s="29">
        <v>44558</v>
      </c>
      <c r="J15" s="17" t="s">
        <v>264</v>
      </c>
      <c r="K15" s="6" t="s">
        <v>385</v>
      </c>
      <c r="L15" s="31" t="s">
        <v>455</v>
      </c>
      <c r="M15" s="143" t="s">
        <v>713</v>
      </c>
      <c r="N15" s="31" t="s">
        <v>457</v>
      </c>
      <c r="O15" s="141">
        <v>4903.6583410000003</v>
      </c>
      <c r="P15" s="42">
        <v>0</v>
      </c>
      <c r="Q15" s="42">
        <v>2.57</v>
      </c>
      <c r="R15" s="42">
        <v>0</v>
      </c>
      <c r="S15" s="42">
        <v>0</v>
      </c>
      <c r="T15" s="20">
        <v>4000</v>
      </c>
      <c r="U15" s="13">
        <v>0</v>
      </c>
      <c r="V15" s="51">
        <v>1964295</v>
      </c>
      <c r="W15" s="25" t="s">
        <v>90</v>
      </c>
      <c r="AA15" s="3" t="s">
        <v>393</v>
      </c>
      <c r="AB15" s="39">
        <f t="shared" si="0"/>
        <v>26536.225062000001</v>
      </c>
      <c r="AC15" s="191">
        <f t="shared" si="8"/>
        <v>0.20324477440025557</v>
      </c>
      <c r="AD15" s="190">
        <f t="shared" si="1"/>
        <v>23818</v>
      </c>
      <c r="AE15" s="191">
        <f t="shared" si="9"/>
        <v>0.13824125182102581</v>
      </c>
      <c r="AF15" s="39">
        <f t="shared" si="2"/>
        <v>0</v>
      </c>
      <c r="AG15" s="39">
        <f t="shared" si="3"/>
        <v>3067000</v>
      </c>
      <c r="AH15" s="44">
        <f t="shared" si="4"/>
        <v>2</v>
      </c>
      <c r="AI15" s="39">
        <f t="shared" si="5"/>
        <v>26536.225062000001</v>
      </c>
      <c r="AJ15" s="191">
        <f t="shared" si="10"/>
        <v>0.30580705192903246</v>
      </c>
      <c r="AK15" s="39">
        <f t="shared" si="11"/>
        <v>0</v>
      </c>
      <c r="AL15" s="39">
        <f t="shared" si="12"/>
        <v>13.5</v>
      </c>
      <c r="AM15" s="44">
        <f t="shared" si="13"/>
        <v>23818</v>
      </c>
      <c r="AN15" s="191">
        <f t="shared" si="14"/>
        <v>0.17111492675637424</v>
      </c>
      <c r="AO15" s="44">
        <f t="shared" si="6"/>
        <v>0</v>
      </c>
      <c r="AP15" s="39">
        <f t="shared" si="7"/>
        <v>0</v>
      </c>
      <c r="AQ15" s="191">
        <f t="shared" si="15"/>
        <v>0</v>
      </c>
      <c r="AR15" s="39">
        <f t="shared" si="16"/>
        <v>0</v>
      </c>
      <c r="AS15" s="39">
        <f t="shared" si="17"/>
        <v>0</v>
      </c>
      <c r="AT15" s="44">
        <f t="shared" si="18"/>
        <v>0</v>
      </c>
      <c r="AU15" s="191">
        <f t="shared" si="19"/>
        <v>0</v>
      </c>
    </row>
    <row r="16" spans="2:47" ht="55.2" x14ac:dyDescent="0.3">
      <c r="B16" s="6">
        <f t="shared" si="20"/>
        <v>13</v>
      </c>
      <c r="C16" s="8" t="s">
        <v>700</v>
      </c>
      <c r="D16" s="11" t="s">
        <v>377</v>
      </c>
      <c r="E16" s="11" t="s">
        <v>389</v>
      </c>
      <c r="F16" s="8" t="s">
        <v>251</v>
      </c>
      <c r="G16" s="6" t="s">
        <v>252</v>
      </c>
      <c r="H16" s="29">
        <v>44413</v>
      </c>
      <c r="I16" s="29">
        <v>44558</v>
      </c>
      <c r="J16" s="8" t="s">
        <v>265</v>
      </c>
      <c r="K16" s="6" t="s">
        <v>385</v>
      </c>
      <c r="L16" s="31" t="s">
        <v>458</v>
      </c>
      <c r="M16" s="143" t="s">
        <v>689</v>
      </c>
      <c r="N16" s="31" t="s">
        <v>456</v>
      </c>
      <c r="O16" s="141">
        <v>10469.676380999999</v>
      </c>
      <c r="P16" s="42">
        <v>4</v>
      </c>
      <c r="Q16" s="42">
        <v>0</v>
      </c>
      <c r="R16" s="42">
        <v>0</v>
      </c>
      <c r="S16" s="42">
        <v>0</v>
      </c>
      <c r="T16" s="13">
        <v>0</v>
      </c>
      <c r="U16" s="20">
        <v>4900</v>
      </c>
      <c r="V16" s="51">
        <v>1998825</v>
      </c>
      <c r="W16" s="25" t="s">
        <v>90</v>
      </c>
      <c r="AA16" s="3" t="s">
        <v>395</v>
      </c>
      <c r="AB16" s="39">
        <f t="shared" si="0"/>
        <v>0</v>
      </c>
      <c r="AC16" s="191">
        <f t="shared" si="8"/>
        <v>0</v>
      </c>
      <c r="AD16" s="190">
        <f t="shared" si="1"/>
        <v>0</v>
      </c>
      <c r="AE16" s="191">
        <f t="shared" si="9"/>
        <v>0</v>
      </c>
      <c r="AF16" s="39">
        <f t="shared" si="2"/>
        <v>0</v>
      </c>
      <c r="AG16" s="39">
        <f t="shared" si="3"/>
        <v>0</v>
      </c>
      <c r="AH16" s="44">
        <f t="shared" si="4"/>
        <v>0</v>
      </c>
      <c r="AI16" s="39">
        <f t="shared" si="5"/>
        <v>0</v>
      </c>
      <c r="AJ16" s="191">
        <f t="shared" si="10"/>
        <v>0</v>
      </c>
      <c r="AK16" s="39">
        <f t="shared" si="11"/>
        <v>0</v>
      </c>
      <c r="AL16" s="39">
        <f t="shared" si="12"/>
        <v>0</v>
      </c>
      <c r="AM16" s="44">
        <f t="shared" si="13"/>
        <v>0</v>
      </c>
      <c r="AN16" s="191">
        <f t="shared" si="14"/>
        <v>0</v>
      </c>
      <c r="AO16" s="44">
        <f t="shared" si="6"/>
        <v>0</v>
      </c>
      <c r="AP16" s="39">
        <f t="shared" si="7"/>
        <v>0</v>
      </c>
      <c r="AQ16" s="191">
        <f t="shared" si="15"/>
        <v>0</v>
      </c>
      <c r="AR16" s="39">
        <f t="shared" si="16"/>
        <v>0</v>
      </c>
      <c r="AS16" s="39">
        <f t="shared" si="17"/>
        <v>0</v>
      </c>
      <c r="AT16" s="44">
        <f t="shared" si="18"/>
        <v>0</v>
      </c>
      <c r="AU16" s="191">
        <f t="shared" si="19"/>
        <v>0</v>
      </c>
    </row>
    <row r="17" spans="2:47" ht="41.4" x14ac:dyDescent="0.3">
      <c r="B17" s="6">
        <f t="shared" si="20"/>
        <v>14</v>
      </c>
      <c r="C17" s="8" t="s">
        <v>701</v>
      </c>
      <c r="D17" s="11" t="s">
        <v>377</v>
      </c>
      <c r="E17" s="11" t="s">
        <v>389</v>
      </c>
      <c r="F17" s="8" t="s">
        <v>251</v>
      </c>
      <c r="G17" s="6" t="s">
        <v>252</v>
      </c>
      <c r="H17" s="29">
        <v>44413</v>
      </c>
      <c r="I17" s="29">
        <v>44558</v>
      </c>
      <c r="J17" s="8" t="s">
        <v>265</v>
      </c>
      <c r="K17" s="6" t="s">
        <v>385</v>
      </c>
      <c r="L17" s="31" t="s">
        <v>458</v>
      </c>
      <c r="M17" s="143" t="s">
        <v>689</v>
      </c>
      <c r="N17" s="31" t="s">
        <v>456</v>
      </c>
      <c r="O17" s="141">
        <v>4089.9625529999998</v>
      </c>
      <c r="P17" s="42">
        <v>4.5999999999999996</v>
      </c>
      <c r="Q17" s="42"/>
      <c r="R17" s="42">
        <v>0</v>
      </c>
      <c r="S17" s="42">
        <v>0</v>
      </c>
      <c r="T17" s="13">
        <v>0</v>
      </c>
      <c r="U17" s="20">
        <v>4315</v>
      </c>
      <c r="V17" s="14">
        <v>1194175</v>
      </c>
      <c r="W17" s="25" t="s">
        <v>90</v>
      </c>
      <c r="AA17" s="3" t="s">
        <v>396</v>
      </c>
      <c r="AB17" s="39">
        <f t="shared" si="0"/>
        <v>0</v>
      </c>
      <c r="AC17" s="191">
        <f t="shared" si="8"/>
        <v>0</v>
      </c>
      <c r="AD17" s="190">
        <f t="shared" si="1"/>
        <v>0</v>
      </c>
      <c r="AE17" s="191">
        <f t="shared" si="9"/>
        <v>0</v>
      </c>
      <c r="AF17" s="39">
        <f t="shared" si="2"/>
        <v>0</v>
      </c>
      <c r="AG17" s="39">
        <f t="shared" si="3"/>
        <v>0</v>
      </c>
      <c r="AH17" s="44">
        <f t="shared" si="4"/>
        <v>0</v>
      </c>
      <c r="AI17" s="39">
        <f t="shared" si="5"/>
        <v>0</v>
      </c>
      <c r="AJ17" s="191">
        <f t="shared" si="10"/>
        <v>0</v>
      </c>
      <c r="AK17" s="39">
        <f t="shared" si="11"/>
        <v>0</v>
      </c>
      <c r="AL17" s="39">
        <f t="shared" si="12"/>
        <v>0</v>
      </c>
      <c r="AM17" s="44">
        <f t="shared" si="13"/>
        <v>0</v>
      </c>
      <c r="AN17" s="191">
        <f t="shared" si="14"/>
        <v>0</v>
      </c>
      <c r="AO17" s="44">
        <f t="shared" si="6"/>
        <v>0</v>
      </c>
      <c r="AP17" s="39">
        <f t="shared" si="7"/>
        <v>0</v>
      </c>
      <c r="AQ17" s="191">
        <f t="shared" si="15"/>
        <v>0</v>
      </c>
      <c r="AR17" s="39">
        <f t="shared" si="16"/>
        <v>0</v>
      </c>
      <c r="AS17" s="39">
        <f t="shared" si="17"/>
        <v>0</v>
      </c>
      <c r="AT17" s="44">
        <f t="shared" si="18"/>
        <v>0</v>
      </c>
      <c r="AU17" s="191">
        <f t="shared" si="19"/>
        <v>0</v>
      </c>
    </row>
    <row r="18" spans="2:47" ht="41.4" x14ac:dyDescent="0.3">
      <c r="B18" s="6">
        <f t="shared" si="20"/>
        <v>15</v>
      </c>
      <c r="C18" s="75" t="s">
        <v>702</v>
      </c>
      <c r="D18" s="11" t="s">
        <v>377</v>
      </c>
      <c r="E18" s="11" t="s">
        <v>398</v>
      </c>
      <c r="F18" s="6" t="s">
        <v>304</v>
      </c>
      <c r="G18" s="6" t="s">
        <v>305</v>
      </c>
      <c r="H18" s="10">
        <v>43922</v>
      </c>
      <c r="I18" s="10">
        <v>44423</v>
      </c>
      <c r="J18" s="17" t="s">
        <v>306</v>
      </c>
      <c r="K18" s="6" t="s">
        <v>385</v>
      </c>
      <c r="L18" s="31" t="s">
        <v>458</v>
      </c>
      <c r="M18" s="143" t="s">
        <v>689</v>
      </c>
      <c r="N18" s="31" t="s">
        <v>456</v>
      </c>
      <c r="O18" s="141">
        <v>1398.0113040000001</v>
      </c>
      <c r="P18" s="42">
        <v>4.117</v>
      </c>
      <c r="Q18" s="42"/>
      <c r="R18" s="42"/>
      <c r="S18" s="42"/>
      <c r="T18" s="13">
        <v>0</v>
      </c>
      <c r="U18" s="20">
        <v>7450</v>
      </c>
      <c r="V18" s="14">
        <v>1331500</v>
      </c>
      <c r="W18" s="25" t="s">
        <v>90</v>
      </c>
      <c r="AB18" s="202">
        <f>+SUM(AB4:AB17)</f>
        <v>130562.88969939998</v>
      </c>
      <c r="AD18" s="207">
        <f>+SUM(AD4:AD17)</f>
        <v>172293</v>
      </c>
      <c r="AF18" s="202">
        <f>+SUM(AF4:AF17)</f>
        <v>25824260</v>
      </c>
      <c r="AG18" s="202">
        <f>+SUM(AG4:AG17)</f>
        <v>5633360</v>
      </c>
      <c r="AH18" s="195">
        <f>+SUM(AH4:AH17)</f>
        <v>16</v>
      </c>
      <c r="AI18" s="202">
        <f>+SUM(AI4:AI17)</f>
        <v>86774.405281400002</v>
      </c>
      <c r="AK18" s="202">
        <f>+SUM(AK4:AK17)</f>
        <v>167.191</v>
      </c>
      <c r="AL18" s="172">
        <f>+SUM(AL4:AL17)</f>
        <v>19</v>
      </c>
      <c r="AM18" s="195">
        <f>+SUM(AM4:AM17)</f>
        <v>139193</v>
      </c>
      <c r="AO18" s="195">
        <f>+SUM(AO4:AO17)</f>
        <v>8</v>
      </c>
      <c r="AP18" s="202">
        <f>+SUM(AP4:AP17)</f>
        <v>43788.484418</v>
      </c>
      <c r="AR18" s="202">
        <f>+SUM(AR4:AR17)</f>
        <v>20.597999999999999</v>
      </c>
      <c r="AS18" s="202">
        <f>+SUM(AS4:AS17)</f>
        <v>17.28</v>
      </c>
      <c r="AT18" s="195">
        <f>+SUM(AT4:AT17)</f>
        <v>33100</v>
      </c>
    </row>
    <row r="19" spans="2:47" ht="41.4" x14ac:dyDescent="0.3">
      <c r="B19" s="6">
        <f t="shared" si="20"/>
        <v>16</v>
      </c>
      <c r="C19" s="99" t="s">
        <v>703</v>
      </c>
      <c r="D19" s="11" t="s">
        <v>377</v>
      </c>
      <c r="E19" s="11" t="s">
        <v>397</v>
      </c>
      <c r="F19" s="98" t="s">
        <v>338</v>
      </c>
      <c r="G19" s="108" t="s">
        <v>329</v>
      </c>
      <c r="H19" s="100">
        <v>44256</v>
      </c>
      <c r="I19" s="100">
        <v>44440</v>
      </c>
      <c r="J19" s="99" t="s">
        <v>330</v>
      </c>
      <c r="K19" s="6" t="s">
        <v>385</v>
      </c>
      <c r="L19" s="31" t="s">
        <v>458</v>
      </c>
      <c r="M19" s="143" t="s">
        <v>689</v>
      </c>
      <c r="N19" s="31" t="s">
        <v>456</v>
      </c>
      <c r="O19" s="141">
        <v>2826.0192350000002</v>
      </c>
      <c r="P19" s="101">
        <v>13.742000000000001</v>
      </c>
      <c r="Q19" s="101">
        <v>0</v>
      </c>
      <c r="R19" s="101">
        <v>0</v>
      </c>
      <c r="S19" s="101">
        <v>0</v>
      </c>
      <c r="T19" s="102">
        <v>0</v>
      </c>
      <c r="U19" s="102">
        <v>6000</v>
      </c>
      <c r="V19" s="101">
        <v>1456700</v>
      </c>
      <c r="W19" s="25" t="s">
        <v>90</v>
      </c>
      <c r="AB19" s="167" t="b">
        <f>+AB18=O28</f>
        <v>1</v>
      </c>
      <c r="AD19" s="167" t="b">
        <f>+AD18=T28+U28</f>
        <v>1</v>
      </c>
      <c r="AF19" s="167" t="b">
        <f>+AF18=V28</f>
        <v>1</v>
      </c>
      <c r="AG19" s="167" t="b">
        <f>+AG18=W28</f>
        <v>1</v>
      </c>
      <c r="AH19" s="167"/>
      <c r="AI19" s="167"/>
      <c r="AK19" s="167" t="b">
        <f>+AK18=P28</f>
        <v>1</v>
      </c>
      <c r="AL19" s="167" t="b">
        <f>+AL18=R28</f>
        <v>1</v>
      </c>
      <c r="AM19" s="167" t="b">
        <f>+AM18=U28</f>
        <v>1</v>
      </c>
      <c r="AO19" s="167"/>
      <c r="AP19" s="167"/>
      <c r="AR19" s="167" t="b">
        <f>+AR18=Q28</f>
        <v>1</v>
      </c>
      <c r="AS19" s="167" t="b">
        <f>+AS18=S28</f>
        <v>1</v>
      </c>
      <c r="AT19" s="167" t="b">
        <f>+AT18=T28</f>
        <v>1</v>
      </c>
    </row>
    <row r="20" spans="2:47" ht="55.2" x14ac:dyDescent="0.3">
      <c r="B20" s="6">
        <f t="shared" si="20"/>
        <v>17</v>
      </c>
      <c r="C20" s="99" t="s">
        <v>704</v>
      </c>
      <c r="D20" s="11" t="s">
        <v>377</v>
      </c>
      <c r="E20" s="11" t="s">
        <v>397</v>
      </c>
      <c r="F20" s="50" t="s">
        <v>322</v>
      </c>
      <c r="G20" s="108" t="s">
        <v>331</v>
      </c>
      <c r="H20" s="100">
        <v>44256</v>
      </c>
      <c r="I20" s="100">
        <v>44418</v>
      </c>
      <c r="J20" s="99" t="s">
        <v>332</v>
      </c>
      <c r="K20" s="6" t="s">
        <v>385</v>
      </c>
      <c r="L20" s="31" t="s">
        <v>455</v>
      </c>
      <c r="M20" s="141" t="s">
        <v>714</v>
      </c>
      <c r="N20" s="141"/>
      <c r="O20" s="141">
        <v>4099.9244120000003</v>
      </c>
      <c r="P20" s="101">
        <v>0</v>
      </c>
      <c r="Q20" s="101">
        <v>0</v>
      </c>
      <c r="R20" s="101">
        <v>0</v>
      </c>
      <c r="S20" s="101">
        <v>9.6300000000000008</v>
      </c>
      <c r="T20" s="102">
        <v>1750</v>
      </c>
      <c r="U20" s="102">
        <v>1161</v>
      </c>
      <c r="V20" s="101" t="s">
        <v>90</v>
      </c>
      <c r="W20" s="135">
        <v>266860</v>
      </c>
    </row>
    <row r="21" spans="2:47" ht="41.4" x14ac:dyDescent="0.3">
      <c r="B21" s="6">
        <f t="shared" si="20"/>
        <v>18</v>
      </c>
      <c r="C21" s="99" t="s">
        <v>686</v>
      </c>
      <c r="D21" s="11" t="s">
        <v>377</v>
      </c>
      <c r="E21" s="11" t="s">
        <v>397</v>
      </c>
      <c r="F21" s="50" t="s">
        <v>322</v>
      </c>
      <c r="G21" s="108" t="s">
        <v>319</v>
      </c>
      <c r="H21" s="100">
        <v>44256</v>
      </c>
      <c r="I21" s="100">
        <v>44440</v>
      </c>
      <c r="J21" s="99" t="s">
        <v>333</v>
      </c>
      <c r="K21" s="6" t="s">
        <v>385</v>
      </c>
      <c r="L21" s="31" t="s">
        <v>455</v>
      </c>
      <c r="M21" s="143" t="s">
        <v>689</v>
      </c>
      <c r="N21" s="143"/>
      <c r="O21" s="141">
        <v>4316.5855039999997</v>
      </c>
      <c r="P21" s="101">
        <v>0</v>
      </c>
      <c r="Q21" s="101">
        <v>0</v>
      </c>
      <c r="R21" s="101">
        <v>0</v>
      </c>
      <c r="S21" s="101">
        <v>4.6500000000000004</v>
      </c>
      <c r="T21" s="134">
        <v>1500</v>
      </c>
      <c r="U21" s="134">
        <v>0</v>
      </c>
      <c r="V21" s="101" t="s">
        <v>90</v>
      </c>
      <c r="W21" s="135">
        <v>103500</v>
      </c>
    </row>
    <row r="22" spans="2:47" ht="27.6" x14ac:dyDescent="0.3">
      <c r="B22" s="6">
        <f t="shared" si="20"/>
        <v>19</v>
      </c>
      <c r="C22" s="99" t="s">
        <v>705</v>
      </c>
      <c r="D22" s="11" t="s">
        <v>377</v>
      </c>
      <c r="E22" s="11" t="s">
        <v>397</v>
      </c>
      <c r="F22" s="98" t="s">
        <v>325</v>
      </c>
      <c r="G22" s="108" t="s">
        <v>323</v>
      </c>
      <c r="H22" s="100">
        <v>43891</v>
      </c>
      <c r="I22" s="100">
        <v>44423</v>
      </c>
      <c r="J22" s="99" t="s">
        <v>334</v>
      </c>
      <c r="K22" s="6" t="s">
        <v>385</v>
      </c>
      <c r="L22" s="31" t="s">
        <v>458</v>
      </c>
      <c r="M22" s="143" t="s">
        <v>689</v>
      </c>
      <c r="N22" s="31" t="s">
        <v>457</v>
      </c>
      <c r="O22" s="141">
        <v>4443.7174459999997</v>
      </c>
      <c r="P22" s="101">
        <v>3.7719999999999998</v>
      </c>
      <c r="Q22" s="101">
        <v>0</v>
      </c>
      <c r="R22" s="101">
        <v>0</v>
      </c>
      <c r="S22" s="101">
        <v>0</v>
      </c>
      <c r="T22" s="102">
        <v>0</v>
      </c>
      <c r="U22" s="102">
        <v>2578</v>
      </c>
      <c r="V22" s="135">
        <v>570000</v>
      </c>
      <c r="W22" s="98" t="s">
        <v>90</v>
      </c>
    </row>
    <row r="23" spans="2:47" ht="41.4" x14ac:dyDescent="0.3">
      <c r="B23" s="6">
        <f t="shared" si="20"/>
        <v>20</v>
      </c>
      <c r="C23" s="99" t="s">
        <v>687</v>
      </c>
      <c r="D23" s="11" t="s">
        <v>377</v>
      </c>
      <c r="E23" s="11" t="s">
        <v>397</v>
      </c>
      <c r="F23" s="93" t="s">
        <v>318</v>
      </c>
      <c r="G23" s="108" t="s">
        <v>314</v>
      </c>
      <c r="H23" s="100">
        <v>43891</v>
      </c>
      <c r="I23" s="100">
        <v>44418</v>
      </c>
      <c r="J23" s="99" t="s">
        <v>335</v>
      </c>
      <c r="K23" s="6" t="s">
        <v>385</v>
      </c>
      <c r="L23" s="31" t="s">
        <v>458</v>
      </c>
      <c r="M23" s="143" t="s">
        <v>689</v>
      </c>
      <c r="N23" s="31" t="s">
        <v>456</v>
      </c>
      <c r="O23" s="141">
        <v>5240.3815169999998</v>
      </c>
      <c r="P23" s="101">
        <v>22.6</v>
      </c>
      <c r="Q23" s="101">
        <v>0</v>
      </c>
      <c r="R23" s="101">
        <v>0</v>
      </c>
      <c r="S23" s="101">
        <v>0</v>
      </c>
      <c r="T23" s="102">
        <v>0</v>
      </c>
      <c r="U23" s="102">
        <v>14500</v>
      </c>
      <c r="V23" s="101">
        <v>1100000</v>
      </c>
      <c r="W23" s="98" t="s">
        <v>90</v>
      </c>
    </row>
    <row r="24" spans="2:47" ht="27.6" x14ac:dyDescent="0.3">
      <c r="B24" s="6">
        <f t="shared" si="20"/>
        <v>21</v>
      </c>
      <c r="C24" s="99" t="s">
        <v>688</v>
      </c>
      <c r="D24" s="11" t="s">
        <v>377</v>
      </c>
      <c r="E24" s="11" t="s">
        <v>397</v>
      </c>
      <c r="F24" s="98" t="s">
        <v>339</v>
      </c>
      <c r="G24" s="108" t="s">
        <v>336</v>
      </c>
      <c r="H24" s="100">
        <v>43891</v>
      </c>
      <c r="I24" s="100">
        <v>44440</v>
      </c>
      <c r="J24" s="99" t="s">
        <v>337</v>
      </c>
      <c r="K24" s="6" t="s">
        <v>385</v>
      </c>
      <c r="L24" s="31" t="s">
        <v>458</v>
      </c>
      <c r="M24" s="143" t="s">
        <v>689</v>
      </c>
      <c r="N24" s="31" t="s">
        <v>456</v>
      </c>
      <c r="O24" s="141">
        <v>6873.8838489999998</v>
      </c>
      <c r="P24" s="101">
        <v>25.109000000000002</v>
      </c>
      <c r="Q24" s="101">
        <v>0</v>
      </c>
      <c r="R24" s="101">
        <v>0</v>
      </c>
      <c r="S24" s="101">
        <v>0</v>
      </c>
      <c r="T24" s="150">
        <v>0</v>
      </c>
      <c r="U24" s="150">
        <v>16856</v>
      </c>
      <c r="V24" s="135">
        <v>1360000</v>
      </c>
      <c r="W24" s="98" t="s">
        <v>90</v>
      </c>
    </row>
    <row r="25" spans="2:47" ht="41.4" x14ac:dyDescent="0.3">
      <c r="B25" s="6">
        <f t="shared" si="20"/>
        <v>22</v>
      </c>
      <c r="C25" s="116" t="s">
        <v>706</v>
      </c>
      <c r="D25" s="11" t="s">
        <v>377</v>
      </c>
      <c r="E25" s="11" t="s">
        <v>393</v>
      </c>
      <c r="F25" s="113" t="s">
        <v>373</v>
      </c>
      <c r="G25" s="113" t="s">
        <v>374</v>
      </c>
      <c r="H25" s="114">
        <v>43862</v>
      </c>
      <c r="I25" s="114">
        <v>44256</v>
      </c>
      <c r="J25" s="111" t="s">
        <v>375</v>
      </c>
      <c r="K25" s="6" t="s">
        <v>385</v>
      </c>
      <c r="L25" s="31" t="s">
        <v>458</v>
      </c>
      <c r="M25" s="141" t="s">
        <v>690</v>
      </c>
      <c r="N25" s="31" t="s">
        <v>456</v>
      </c>
      <c r="O25" s="141">
        <v>17627.730521000001</v>
      </c>
      <c r="P25" s="112">
        <v>0</v>
      </c>
      <c r="Q25" s="112">
        <v>0</v>
      </c>
      <c r="R25" s="112">
        <v>7.7</v>
      </c>
      <c r="S25" s="149">
        <v>0</v>
      </c>
      <c r="T25" s="151"/>
      <c r="U25" s="152">
        <v>12868</v>
      </c>
      <c r="V25" s="98" t="s">
        <v>90</v>
      </c>
      <c r="W25" s="154">
        <v>1942000</v>
      </c>
    </row>
    <row r="26" spans="2:47" ht="41.4" x14ac:dyDescent="0.3">
      <c r="B26" s="6">
        <f t="shared" si="20"/>
        <v>23</v>
      </c>
      <c r="C26" s="8" t="s">
        <v>707</v>
      </c>
      <c r="D26" s="11" t="s">
        <v>377</v>
      </c>
      <c r="E26" s="11" t="s">
        <v>393</v>
      </c>
      <c r="F26" s="12"/>
      <c r="G26" s="12"/>
      <c r="H26" s="10">
        <v>43891</v>
      </c>
      <c r="I26" s="10">
        <v>44418</v>
      </c>
      <c r="J26" s="12"/>
      <c r="K26" s="6" t="s">
        <v>385</v>
      </c>
      <c r="L26" s="115" t="s">
        <v>458</v>
      </c>
      <c r="M26" s="143" t="s">
        <v>690</v>
      </c>
      <c r="N26" s="143"/>
      <c r="O26" s="141">
        <v>8908.494541</v>
      </c>
      <c r="P26" s="14"/>
      <c r="Q26" s="14"/>
      <c r="R26" s="14">
        <v>5.8</v>
      </c>
      <c r="S26" s="14"/>
      <c r="T26" s="153"/>
      <c r="U26" s="153">
        <v>10950</v>
      </c>
      <c r="V26" s="98" t="s">
        <v>90</v>
      </c>
      <c r="W26" s="14">
        <v>1125000</v>
      </c>
    </row>
    <row r="27" spans="2:47" ht="41.4" x14ac:dyDescent="0.3">
      <c r="B27" s="6">
        <f t="shared" si="20"/>
        <v>24</v>
      </c>
      <c r="C27" s="142" t="s">
        <v>708</v>
      </c>
      <c r="D27" s="11" t="s">
        <v>377</v>
      </c>
      <c r="E27" s="11" t="s">
        <v>394</v>
      </c>
      <c r="F27" s="11" t="s">
        <v>409</v>
      </c>
      <c r="G27" s="35" t="s">
        <v>410</v>
      </c>
      <c r="H27" s="10">
        <v>44229</v>
      </c>
      <c r="I27" s="10">
        <v>44501</v>
      </c>
      <c r="J27" s="17" t="s">
        <v>416</v>
      </c>
      <c r="K27" s="6" t="s">
        <v>385</v>
      </c>
      <c r="L27" s="31" t="s">
        <v>458</v>
      </c>
      <c r="M27" s="143" t="s">
        <v>689</v>
      </c>
      <c r="N27" s="31" t="s">
        <v>456</v>
      </c>
      <c r="O27" s="141">
        <v>4044.1585540000001</v>
      </c>
      <c r="P27" s="119">
        <v>16.100000000000001</v>
      </c>
      <c r="Q27" s="31">
        <v>0</v>
      </c>
      <c r="R27" s="31">
        <v>0</v>
      </c>
      <c r="S27" s="31">
        <v>0</v>
      </c>
      <c r="T27" s="30"/>
      <c r="U27" s="30">
        <f>739+2411</f>
        <v>3150</v>
      </c>
      <c r="V27" s="155">
        <v>873250</v>
      </c>
      <c r="W27" s="98" t="s">
        <v>90</v>
      </c>
    </row>
    <row r="28" spans="2:47" x14ac:dyDescent="0.3">
      <c r="O28" s="236">
        <f t="shared" ref="O28:W28" si="21">+SUM(O4:O27)</f>
        <v>130562.8896994</v>
      </c>
      <c r="P28" s="236">
        <f t="shared" si="21"/>
        <v>167.191</v>
      </c>
      <c r="Q28" s="236">
        <f t="shared" si="21"/>
        <v>20.598000000000003</v>
      </c>
      <c r="R28" s="236">
        <f t="shared" si="21"/>
        <v>19</v>
      </c>
      <c r="S28" s="236">
        <f t="shared" si="21"/>
        <v>17.28</v>
      </c>
      <c r="T28" s="236">
        <f t="shared" si="21"/>
        <v>33100</v>
      </c>
      <c r="U28" s="236">
        <f t="shared" si="21"/>
        <v>139193</v>
      </c>
      <c r="V28" s="236">
        <f t="shared" si="21"/>
        <v>25824260</v>
      </c>
      <c r="W28" s="236">
        <f t="shared" si="21"/>
        <v>5633360</v>
      </c>
    </row>
    <row r="29" spans="2:47" x14ac:dyDescent="0.3">
      <c r="W29" s="39"/>
    </row>
    <row r="30" spans="2:47" x14ac:dyDescent="0.3">
      <c r="W30" s="39"/>
    </row>
    <row r="31" spans="2:47" x14ac:dyDescent="0.3">
      <c r="W31" s="39"/>
    </row>
    <row r="32" spans="2:47" x14ac:dyDescent="0.3">
      <c r="W32" s="39"/>
    </row>
    <row r="33" spans="23:23" x14ac:dyDescent="0.3">
      <c r="W33" s="39"/>
    </row>
    <row r="34" spans="23:23" x14ac:dyDescent="0.3">
      <c r="W34" s="39"/>
    </row>
    <row r="35" spans="23:23" x14ac:dyDescent="0.3">
      <c r="W35" s="39"/>
    </row>
    <row r="36" spans="23:23" x14ac:dyDescent="0.3">
      <c r="W36" s="39"/>
    </row>
    <row r="37" spans="23:23" x14ac:dyDescent="0.3">
      <c r="W37" s="39"/>
    </row>
    <row r="38" spans="23:23" x14ac:dyDescent="0.3">
      <c r="W38" s="39"/>
    </row>
    <row r="39" spans="23:23" x14ac:dyDescent="0.3">
      <c r="W39" s="39"/>
    </row>
    <row r="40" spans="23:23" x14ac:dyDescent="0.3">
      <c r="W40" s="39"/>
    </row>
    <row r="41" spans="23:23" x14ac:dyDescent="0.3">
      <c r="W41" s="39"/>
    </row>
    <row r="42" spans="23:23" x14ac:dyDescent="0.3">
      <c r="W42" s="39"/>
    </row>
  </sheetData>
  <autoFilter ref="B2:W28" xr:uid="{00000000-0001-0000-0300-000000000000}">
    <filterColumn colId="14" showButton="0"/>
    <filterColumn colId="16" showButton="0"/>
  </autoFilter>
  <mergeCells count="20">
    <mergeCell ref="V2:V3"/>
    <mergeCell ref="W2:W3"/>
    <mergeCell ref="R2:S2"/>
    <mergeCell ref="T2:T3"/>
    <mergeCell ref="U2:U3"/>
    <mergeCell ref="H2:H3"/>
    <mergeCell ref="I2:I3"/>
    <mergeCell ref="J2:J3"/>
    <mergeCell ref="K2:K3"/>
    <mergeCell ref="P2:Q2"/>
    <mergeCell ref="L2:L3"/>
    <mergeCell ref="M2:M3"/>
    <mergeCell ref="O2:O3"/>
    <mergeCell ref="N2:N3"/>
    <mergeCell ref="G2:G3"/>
    <mergeCell ref="B2:B3"/>
    <mergeCell ref="D2:D3"/>
    <mergeCell ref="E2:E3"/>
    <mergeCell ref="F2:F3"/>
    <mergeCell ref="C2:C3"/>
  </mergeCells>
  <pageMargins left="0.7" right="0.7" top="0.75" bottom="0.75" header="0.3" footer="0.3"/>
  <pageSetup paperSize="9" orientation="portrait" horizontalDpi="0" verticalDpi="0"/>
  <drawing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'1'!$B$3:$B$4</xm:f>
          </x14:formula1>
          <xm:sqref>K4:K27</xm:sqref>
        </x14:dataValidation>
        <x14:dataValidation type="list" allowBlank="1" showInputMessage="1" showErrorMessage="1" xr:uid="{00000000-0002-0000-0300-000001000000}">
          <x14:formula1>
            <xm:f>'1'!$B$11:$B$15</xm:f>
          </x14:formula1>
          <xm:sqref>D4:D27</xm:sqref>
        </x14:dataValidation>
        <x14:dataValidation type="list" allowBlank="1" showInputMessage="1" showErrorMessage="1" xr:uid="{00000000-0002-0000-0300-000002000000}">
          <x14:formula1>
            <xm:f>'1'!$B$17:$B$30</xm:f>
          </x14:formula1>
          <xm:sqref>E4:E27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C18"/>
  <sheetViews>
    <sheetView showGridLines="0" topLeftCell="H1" zoomScale="70" zoomScaleNormal="70" workbookViewId="0">
      <selection activeCell="P13" sqref="P13"/>
    </sheetView>
  </sheetViews>
  <sheetFormatPr defaultColWidth="8.77734375" defaultRowHeight="13.8" x14ac:dyDescent="0.3"/>
  <cols>
    <col min="1" max="2" width="8.77734375" style="16"/>
    <col min="3" max="3" width="60.6640625" style="16" customWidth="1"/>
    <col min="4" max="4" width="25.44140625" style="16" customWidth="1"/>
    <col min="5" max="5" width="23.44140625" style="16" customWidth="1"/>
    <col min="6" max="7" width="21" style="16" hidden="1" customWidth="1"/>
    <col min="8" max="8" width="20.44140625" style="16" customWidth="1"/>
    <col min="9" max="9" width="15.44140625" style="16" customWidth="1"/>
    <col min="10" max="10" width="15.6640625" style="16" hidden="1" customWidth="1"/>
    <col min="11" max="11" width="16.77734375" style="16" bestFit="1" customWidth="1"/>
    <col min="12" max="12" width="16.77734375" style="16" customWidth="1"/>
    <col min="13" max="13" width="115.109375" style="16" customWidth="1"/>
    <col min="14" max="14" width="20.109375" style="16" customWidth="1"/>
    <col min="15" max="15" width="15.44140625" style="16" customWidth="1"/>
    <col min="16" max="16" width="17.6640625" style="39" customWidth="1"/>
    <col min="17" max="17" width="21.6640625" style="39" customWidth="1"/>
    <col min="18" max="18" width="13.77734375" style="39" customWidth="1"/>
    <col min="19" max="19" width="36.33203125" style="39" customWidth="1"/>
    <col min="20" max="20" width="8.77734375" style="16"/>
    <col min="21" max="21" width="30.33203125" style="16" customWidth="1"/>
    <col min="22" max="22" width="15.44140625" style="16" customWidth="1"/>
    <col min="23" max="23" width="11" style="16" bestFit="1" customWidth="1"/>
    <col min="24" max="24" width="22.109375" style="16" customWidth="1"/>
    <col min="25" max="25" width="8.77734375" style="16"/>
    <col min="26" max="26" width="20.77734375" style="16" customWidth="1"/>
    <col min="27" max="27" width="8.77734375" style="16"/>
    <col min="28" max="28" width="17.77734375" style="16" customWidth="1"/>
    <col min="29" max="29" width="28.109375" style="16" customWidth="1"/>
    <col min="30" max="16384" width="8.77734375" style="16"/>
  </cols>
  <sheetData>
    <row r="1" spans="2:29" x14ac:dyDescent="0.3">
      <c r="B1" s="38" t="s">
        <v>724</v>
      </c>
      <c r="S1" s="314" t="s">
        <v>921</v>
      </c>
      <c r="AC1" s="314" t="s">
        <v>921</v>
      </c>
    </row>
    <row r="2" spans="2:29" s="144" customFormat="1" ht="55.2" x14ac:dyDescent="0.3">
      <c r="B2" s="156" t="s">
        <v>431</v>
      </c>
      <c r="C2" s="156" t="s">
        <v>400</v>
      </c>
      <c r="D2" s="157" t="s">
        <v>432</v>
      </c>
      <c r="E2" s="157" t="s">
        <v>433</v>
      </c>
      <c r="F2" s="157" t="s">
        <v>2</v>
      </c>
      <c r="G2" s="157" t="s">
        <v>3</v>
      </c>
      <c r="H2" s="157" t="s">
        <v>436</v>
      </c>
      <c r="I2" s="157" t="s">
        <v>437</v>
      </c>
      <c r="J2" s="157" t="s">
        <v>1</v>
      </c>
      <c r="K2" s="157" t="s">
        <v>439</v>
      </c>
      <c r="L2" s="156" t="s">
        <v>403</v>
      </c>
      <c r="M2" s="156" t="s">
        <v>401</v>
      </c>
      <c r="N2" s="156" t="s">
        <v>402</v>
      </c>
      <c r="O2" s="160" t="s">
        <v>769</v>
      </c>
      <c r="P2" s="160" t="s">
        <v>821</v>
      </c>
      <c r="Q2" s="160" t="s">
        <v>756</v>
      </c>
      <c r="R2" s="158" t="s">
        <v>819</v>
      </c>
      <c r="S2" s="158" t="s">
        <v>747</v>
      </c>
      <c r="U2" s="162" t="s">
        <v>761</v>
      </c>
      <c r="V2" s="235" t="s">
        <v>758</v>
      </c>
      <c r="W2" s="233" t="s">
        <v>763</v>
      </c>
      <c r="X2" s="235" t="s">
        <v>817</v>
      </c>
      <c r="Y2" s="233" t="s">
        <v>763</v>
      </c>
      <c r="Z2" s="163" t="s">
        <v>818</v>
      </c>
      <c r="AA2" s="233" t="s">
        <v>763</v>
      </c>
      <c r="AB2" s="165" t="s">
        <v>819</v>
      </c>
      <c r="AC2" s="165" t="s">
        <v>820</v>
      </c>
    </row>
    <row r="3" spans="2:29" ht="41.4" x14ac:dyDescent="0.3">
      <c r="B3" s="6">
        <v>1</v>
      </c>
      <c r="C3" s="45" t="s">
        <v>734</v>
      </c>
      <c r="D3" s="6" t="s">
        <v>378</v>
      </c>
      <c r="E3" s="6" t="s">
        <v>396</v>
      </c>
      <c r="F3" s="6" t="s">
        <v>55</v>
      </c>
      <c r="G3" s="26" t="s">
        <v>56</v>
      </c>
      <c r="H3" s="10">
        <v>44299</v>
      </c>
      <c r="I3" s="10">
        <v>44612</v>
      </c>
      <c r="J3" s="17" t="s">
        <v>14</v>
      </c>
      <c r="K3" s="6" t="s">
        <v>385</v>
      </c>
      <c r="L3" s="145" t="s">
        <v>455</v>
      </c>
      <c r="M3" s="146" t="s">
        <v>822</v>
      </c>
      <c r="N3" s="385" t="s">
        <v>456</v>
      </c>
      <c r="O3" s="141">
        <v>1992.9880000000001</v>
      </c>
      <c r="P3" s="51">
        <v>8</v>
      </c>
      <c r="Q3" s="51">
        <v>17148</v>
      </c>
      <c r="R3" s="246">
        <v>0.16</v>
      </c>
      <c r="S3" s="14">
        <v>4800000</v>
      </c>
      <c r="U3" s="16" t="s">
        <v>386</v>
      </c>
      <c r="V3" s="39">
        <f t="shared" ref="V3:V16" si="0">+SUMIFS(O:O,E:E,U3)</f>
        <v>5323.3630000000003</v>
      </c>
      <c r="W3" s="191">
        <f>+V3/$V$17</f>
        <v>0.13508793566225274</v>
      </c>
      <c r="X3" s="16">
        <f t="shared" ref="X3:X16" si="1">+SUMIFS(P:P,E:E,U3)</f>
        <v>18.600000000000001</v>
      </c>
      <c r="Y3" s="191">
        <f>+X3/$X$17</f>
        <v>0.18609304652326161</v>
      </c>
      <c r="Z3" s="39">
        <f t="shared" ref="Z3:Z16" si="2">+SUMIFS(Q:Q,E:E,U3)</f>
        <v>4169</v>
      </c>
      <c r="AA3" s="191">
        <f>+Z3/$Z$17</f>
        <v>4.303217349119022E-2</v>
      </c>
      <c r="AB3" s="159">
        <f>+SUMIFS(R:R,E:E,U3)/COUNTIFS(E:E,U3)</f>
        <v>0.23404761904761906</v>
      </c>
      <c r="AC3" s="39">
        <f t="shared" ref="AC3:AC16" si="3">+SUMIFS(S:S,E:E,U3)</f>
        <v>3300000</v>
      </c>
    </row>
    <row r="4" spans="2:29" ht="82.8" x14ac:dyDescent="0.3">
      <c r="B4" s="11">
        <f>+B3+1</f>
        <v>2</v>
      </c>
      <c r="C4" s="17" t="s">
        <v>422</v>
      </c>
      <c r="D4" s="6" t="s">
        <v>378</v>
      </c>
      <c r="E4" s="6" t="s">
        <v>387</v>
      </c>
      <c r="F4" s="11" t="s">
        <v>77</v>
      </c>
      <c r="G4" s="11" t="s">
        <v>78</v>
      </c>
      <c r="H4" s="29">
        <v>44300</v>
      </c>
      <c r="I4" s="29">
        <v>44512</v>
      </c>
      <c r="J4" s="17" t="s">
        <v>79</v>
      </c>
      <c r="K4" s="6" t="s">
        <v>385</v>
      </c>
      <c r="L4" s="145" t="s">
        <v>455</v>
      </c>
      <c r="M4" s="147" t="s">
        <v>823</v>
      </c>
      <c r="N4" s="385" t="s">
        <v>456</v>
      </c>
      <c r="O4" s="141">
        <v>2280.4859999999999</v>
      </c>
      <c r="P4" s="31">
        <v>3.8</v>
      </c>
      <c r="Q4" s="31">
        <v>1045</v>
      </c>
      <c r="R4" s="246">
        <v>0.15</v>
      </c>
      <c r="S4" s="115">
        <v>1040000</v>
      </c>
      <c r="U4" s="3" t="s">
        <v>387</v>
      </c>
      <c r="V4" s="39">
        <f t="shared" si="0"/>
        <v>4247.4120000000003</v>
      </c>
      <c r="W4" s="191">
        <f t="shared" ref="W4:W16" si="4">+V4/$V$17</f>
        <v>0.10778414302896125</v>
      </c>
      <c r="X4" s="16">
        <f t="shared" si="1"/>
        <v>5.3</v>
      </c>
      <c r="Y4" s="191">
        <f t="shared" ref="Y4:Y16" si="5">+X4/$X$17</f>
        <v>5.3026513256628306E-2</v>
      </c>
      <c r="Z4" s="39">
        <f t="shared" si="2"/>
        <v>1595</v>
      </c>
      <c r="AA4" s="191">
        <f t="shared" ref="AA4:AA16" si="6">+Z4/$Z$17</f>
        <v>1.6463496454413147E-2</v>
      </c>
      <c r="AB4" s="159">
        <f>+SUMIFS(R:R,E:E,U4)/COUNTIFS(E:E,U4)</f>
        <v>0.14136060100166944</v>
      </c>
      <c r="AC4" s="39">
        <f t="shared" si="3"/>
        <v>27440000</v>
      </c>
    </row>
    <row r="5" spans="2:29" ht="69" x14ac:dyDescent="0.3">
      <c r="B5" s="11">
        <f>+B4+1</f>
        <v>3</v>
      </c>
      <c r="C5" s="17" t="s">
        <v>423</v>
      </c>
      <c r="D5" s="6" t="s">
        <v>378</v>
      </c>
      <c r="E5" s="6" t="s">
        <v>387</v>
      </c>
      <c r="F5" s="11" t="s">
        <v>80</v>
      </c>
      <c r="G5" s="11" t="s">
        <v>81</v>
      </c>
      <c r="H5" s="29">
        <v>44406</v>
      </c>
      <c r="I5" s="29">
        <v>44890</v>
      </c>
      <c r="J5" s="17" t="s">
        <v>82</v>
      </c>
      <c r="K5" s="6" t="s">
        <v>385</v>
      </c>
      <c r="L5" s="145" t="s">
        <v>455</v>
      </c>
      <c r="M5" s="146" t="s">
        <v>736</v>
      </c>
      <c r="N5" s="385" t="s">
        <v>456</v>
      </c>
      <c r="O5" s="141">
        <v>1966.9259999999999</v>
      </c>
      <c r="P5" s="31">
        <v>1.5</v>
      </c>
      <c r="Q5" s="115">
        <v>550</v>
      </c>
      <c r="R5" s="246">
        <v>0.1327212020033389</v>
      </c>
      <c r="S5" s="115">
        <v>26400000</v>
      </c>
      <c r="U5" s="16" t="s">
        <v>398</v>
      </c>
      <c r="V5" s="39">
        <f t="shared" si="0"/>
        <v>10424.858</v>
      </c>
      <c r="W5" s="191">
        <f t="shared" si="4"/>
        <v>0.26454565408974001</v>
      </c>
      <c r="X5" s="16">
        <f t="shared" si="1"/>
        <v>5.9</v>
      </c>
      <c r="Y5" s="191">
        <f t="shared" si="5"/>
        <v>5.9029514757378686E-2</v>
      </c>
      <c r="Z5" s="39">
        <f t="shared" si="2"/>
        <v>6725</v>
      </c>
      <c r="AA5" s="191">
        <f t="shared" si="6"/>
        <v>6.941505558365417E-2</v>
      </c>
      <c r="AB5" s="159">
        <f>+SUMIFS(R:R,E:E,U5)/COUNTIFS(E:E,U5)</f>
        <v>0.17</v>
      </c>
      <c r="AC5" s="39">
        <f t="shared" si="3"/>
        <v>3120000</v>
      </c>
    </row>
    <row r="6" spans="2:29" ht="41.4" x14ac:dyDescent="0.3">
      <c r="B6" s="11">
        <f>+B5+1</f>
        <v>4</v>
      </c>
      <c r="C6" s="17" t="s">
        <v>684</v>
      </c>
      <c r="D6" s="6" t="s">
        <v>378</v>
      </c>
      <c r="E6" s="6" t="s">
        <v>390</v>
      </c>
      <c r="F6" s="11" t="s">
        <v>83</v>
      </c>
      <c r="G6" s="6" t="s">
        <v>84</v>
      </c>
      <c r="H6" s="29">
        <v>44318</v>
      </c>
      <c r="I6" s="29">
        <v>44922</v>
      </c>
      <c r="J6" s="17" t="s">
        <v>91</v>
      </c>
      <c r="K6" s="6" t="s">
        <v>385</v>
      </c>
      <c r="L6" s="145" t="s">
        <v>455</v>
      </c>
      <c r="M6" s="146" t="s">
        <v>735</v>
      </c>
      <c r="N6" s="385" t="s">
        <v>456</v>
      </c>
      <c r="O6" s="141">
        <v>1503.5</v>
      </c>
      <c r="P6" s="31">
        <v>6.73</v>
      </c>
      <c r="Q6" s="31">
        <v>1309</v>
      </c>
      <c r="R6" s="246">
        <v>0.18</v>
      </c>
      <c r="S6" s="115">
        <v>1505000</v>
      </c>
      <c r="U6" s="3" t="s">
        <v>388</v>
      </c>
      <c r="V6" s="39">
        <f t="shared" si="0"/>
        <v>1596.400001</v>
      </c>
      <c r="W6" s="191">
        <f t="shared" si="4"/>
        <v>4.051092901729756E-2</v>
      </c>
      <c r="X6" s="16">
        <f t="shared" si="1"/>
        <v>1.33</v>
      </c>
      <c r="Y6" s="191">
        <f t="shared" si="5"/>
        <v>1.330665332666333E-2</v>
      </c>
      <c r="Z6" s="39">
        <f t="shared" si="2"/>
        <v>3000</v>
      </c>
      <c r="AA6" s="191">
        <f t="shared" si="6"/>
        <v>3.0965824052187736E-2</v>
      </c>
      <c r="AB6" s="159">
        <f>+SUMIFS(R:R,E:E,U6)/COUNTIFS(E:E,U6)</f>
        <v>0.13274336283185842</v>
      </c>
      <c r="AC6" s="39">
        <f t="shared" si="3"/>
        <v>500000</v>
      </c>
    </row>
    <row r="7" spans="2:29" ht="41.4" x14ac:dyDescent="0.3">
      <c r="B7" s="11">
        <f>+B6+1</f>
        <v>5</v>
      </c>
      <c r="C7" s="45" t="s">
        <v>726</v>
      </c>
      <c r="D7" s="6" t="s">
        <v>378</v>
      </c>
      <c r="E7" s="6" t="s">
        <v>386</v>
      </c>
      <c r="F7" s="59" t="s">
        <v>137</v>
      </c>
      <c r="G7" s="59" t="s">
        <v>138</v>
      </c>
      <c r="H7" s="10">
        <v>44025</v>
      </c>
      <c r="I7" s="10">
        <v>44391</v>
      </c>
      <c r="J7" s="17" t="s">
        <v>139</v>
      </c>
      <c r="K7" s="6" t="s">
        <v>385</v>
      </c>
      <c r="L7" s="145" t="s">
        <v>455</v>
      </c>
      <c r="M7" s="146" t="s">
        <v>737</v>
      </c>
      <c r="N7" s="385" t="s">
        <v>456</v>
      </c>
      <c r="O7" s="141">
        <v>3108.7820000000002</v>
      </c>
      <c r="P7" s="31">
        <v>6.7</v>
      </c>
      <c r="Q7" s="31">
        <v>3469</v>
      </c>
      <c r="R7" s="246">
        <v>0.23809523809523808</v>
      </c>
      <c r="S7" s="115">
        <v>2000000</v>
      </c>
      <c r="U7" s="3" t="s">
        <v>389</v>
      </c>
      <c r="V7" s="39">
        <f t="shared" si="0"/>
        <v>0</v>
      </c>
      <c r="W7" s="191">
        <f t="shared" si="4"/>
        <v>0</v>
      </c>
      <c r="X7" s="16">
        <f t="shared" si="1"/>
        <v>0</v>
      </c>
      <c r="Y7" s="191">
        <f t="shared" si="5"/>
        <v>0</v>
      </c>
      <c r="Z7" s="39">
        <f t="shared" si="2"/>
        <v>0</v>
      </c>
      <c r="AA7" s="191">
        <f t="shared" si="6"/>
        <v>0</v>
      </c>
      <c r="AB7" s="39">
        <v>0</v>
      </c>
      <c r="AC7" s="39">
        <f t="shared" si="3"/>
        <v>0</v>
      </c>
    </row>
    <row r="8" spans="2:29" ht="41.4" x14ac:dyDescent="0.3">
      <c r="B8" s="11">
        <f>+B7+1</f>
        <v>6</v>
      </c>
      <c r="C8" s="45" t="s">
        <v>727</v>
      </c>
      <c r="D8" s="6" t="s">
        <v>378</v>
      </c>
      <c r="E8" s="6" t="s">
        <v>386</v>
      </c>
      <c r="F8" s="59" t="s">
        <v>140</v>
      </c>
      <c r="G8" s="59" t="s">
        <v>141</v>
      </c>
      <c r="H8" s="10">
        <v>43922</v>
      </c>
      <c r="I8" s="10">
        <v>44347</v>
      </c>
      <c r="J8" s="17" t="s">
        <v>142</v>
      </c>
      <c r="K8" s="6" t="s">
        <v>384</v>
      </c>
      <c r="L8" s="145" t="s">
        <v>455</v>
      </c>
      <c r="M8" s="146" t="s">
        <v>738</v>
      </c>
      <c r="N8" s="385" t="s">
        <v>456</v>
      </c>
      <c r="O8" s="141">
        <v>2214.5810000000001</v>
      </c>
      <c r="P8" s="31">
        <v>11.9</v>
      </c>
      <c r="Q8" s="31">
        <f>500+200</f>
        <v>700</v>
      </c>
      <c r="R8" s="246">
        <v>0.23</v>
      </c>
      <c r="S8" s="115">
        <v>1300000</v>
      </c>
      <c r="U8" s="3" t="s">
        <v>397</v>
      </c>
      <c r="V8" s="39">
        <f t="shared" si="0"/>
        <v>1564.5940000000001</v>
      </c>
      <c r="W8" s="191">
        <f t="shared" si="4"/>
        <v>3.9703806336247718E-2</v>
      </c>
      <c r="X8" s="16">
        <f t="shared" si="1"/>
        <v>16.489999999999998</v>
      </c>
      <c r="Y8" s="191">
        <f t="shared" si="5"/>
        <v>0.16498249124562278</v>
      </c>
      <c r="Z8" s="39">
        <f t="shared" si="2"/>
        <v>4005</v>
      </c>
      <c r="AA8" s="191">
        <f t="shared" si="6"/>
        <v>4.1339375109670624E-2</v>
      </c>
      <c r="AB8" s="159">
        <f t="shared" ref="AB8:AB13" si="7">+SUMIFS(R:R,E:E,U8)/COUNTIFS(E:E,U8)</f>
        <v>0.2</v>
      </c>
      <c r="AC8" s="39">
        <f t="shared" si="3"/>
        <v>4100000</v>
      </c>
    </row>
    <row r="9" spans="2:29" ht="41.4" x14ac:dyDescent="0.3">
      <c r="B9" s="6">
        <f t="shared" ref="B9:B16" si="8">+B8+1</f>
        <v>7</v>
      </c>
      <c r="C9" s="17" t="s">
        <v>725</v>
      </c>
      <c r="D9" s="6" t="s">
        <v>378</v>
      </c>
      <c r="E9" s="11" t="s">
        <v>399</v>
      </c>
      <c r="F9" s="11" t="s">
        <v>148</v>
      </c>
      <c r="G9" s="35" t="s">
        <v>149</v>
      </c>
      <c r="H9" s="29">
        <v>44010</v>
      </c>
      <c r="I9" s="29">
        <v>44561</v>
      </c>
      <c r="J9" s="17" t="s">
        <v>162</v>
      </c>
      <c r="K9" s="6" t="s">
        <v>385</v>
      </c>
      <c r="L9" s="145" t="s">
        <v>455</v>
      </c>
      <c r="M9" s="146" t="s">
        <v>739</v>
      </c>
      <c r="N9" s="385" t="s">
        <v>456</v>
      </c>
      <c r="O9" s="141">
        <v>2189.1999999999998</v>
      </c>
      <c r="P9" s="31">
        <v>25</v>
      </c>
      <c r="Q9" s="31">
        <v>7600</v>
      </c>
      <c r="R9" s="246">
        <v>0.24</v>
      </c>
      <c r="S9" s="115">
        <v>2100000</v>
      </c>
      <c r="U9" s="3" t="s">
        <v>391</v>
      </c>
      <c r="V9" s="39">
        <f t="shared" si="0"/>
        <v>1282.3599999999999</v>
      </c>
      <c r="W9" s="191">
        <f t="shared" si="4"/>
        <v>3.2541715674066642E-2</v>
      </c>
      <c r="X9" s="16">
        <f t="shared" si="1"/>
        <v>2.5</v>
      </c>
      <c r="Y9" s="191">
        <f t="shared" si="5"/>
        <v>2.5012506253126558E-2</v>
      </c>
      <c r="Z9" s="39">
        <f t="shared" si="2"/>
        <v>550</v>
      </c>
      <c r="AA9" s="191">
        <f t="shared" si="6"/>
        <v>5.6770677429010845E-3</v>
      </c>
      <c r="AB9" s="159">
        <f t="shared" si="7"/>
        <v>0.1111111111111111</v>
      </c>
      <c r="AC9" s="39">
        <f t="shared" si="3"/>
        <v>1200000</v>
      </c>
    </row>
    <row r="10" spans="2:29" ht="41.4" x14ac:dyDescent="0.3">
      <c r="B10" s="6">
        <f t="shared" si="8"/>
        <v>8</v>
      </c>
      <c r="C10" s="17" t="s">
        <v>730</v>
      </c>
      <c r="D10" s="6" t="s">
        <v>378</v>
      </c>
      <c r="E10" s="11" t="s">
        <v>392</v>
      </c>
      <c r="F10" s="11" t="s">
        <v>179</v>
      </c>
      <c r="G10" s="26" t="s">
        <v>180</v>
      </c>
      <c r="H10" s="10">
        <v>43976</v>
      </c>
      <c r="I10" s="10">
        <v>44559</v>
      </c>
      <c r="J10" s="8" t="s">
        <v>181</v>
      </c>
      <c r="K10" s="6" t="s">
        <v>385</v>
      </c>
      <c r="L10" s="145" t="s">
        <v>455</v>
      </c>
      <c r="M10" s="146" t="s">
        <v>740</v>
      </c>
      <c r="N10" s="385" t="s">
        <v>456</v>
      </c>
      <c r="O10" s="141">
        <v>3277.5</v>
      </c>
      <c r="P10" s="42">
        <v>1.9</v>
      </c>
      <c r="Q10" s="42">
        <v>48166</v>
      </c>
      <c r="R10" s="246">
        <v>0.12</v>
      </c>
      <c r="S10" s="14">
        <v>1500000</v>
      </c>
      <c r="U10" s="3" t="s">
        <v>390</v>
      </c>
      <c r="V10" s="39">
        <f t="shared" si="0"/>
        <v>1503.5</v>
      </c>
      <c r="W10" s="191">
        <f t="shared" si="4"/>
        <v>3.8153458869552383E-2</v>
      </c>
      <c r="X10" s="16">
        <f t="shared" si="1"/>
        <v>6.73</v>
      </c>
      <c r="Y10" s="191">
        <f t="shared" si="5"/>
        <v>6.7333666833416697E-2</v>
      </c>
      <c r="Z10" s="39">
        <f t="shared" si="2"/>
        <v>1309</v>
      </c>
      <c r="AA10" s="191">
        <f t="shared" si="6"/>
        <v>1.3511421228104581E-2</v>
      </c>
      <c r="AB10" s="159">
        <f t="shared" si="7"/>
        <v>0.18</v>
      </c>
      <c r="AC10" s="39">
        <f t="shared" si="3"/>
        <v>1505000</v>
      </c>
    </row>
    <row r="11" spans="2:29" ht="55.2" x14ac:dyDescent="0.3">
      <c r="B11" s="6">
        <f t="shared" si="8"/>
        <v>9</v>
      </c>
      <c r="C11" s="76" t="s">
        <v>728</v>
      </c>
      <c r="D11" s="6" t="s">
        <v>378</v>
      </c>
      <c r="E11" s="11" t="s">
        <v>388</v>
      </c>
      <c r="F11" s="11" t="s">
        <v>190</v>
      </c>
      <c r="G11" s="6" t="s">
        <v>191</v>
      </c>
      <c r="H11" s="10" t="s">
        <v>201</v>
      </c>
      <c r="I11" s="10" t="s">
        <v>202</v>
      </c>
      <c r="J11" s="17" t="s">
        <v>203</v>
      </c>
      <c r="K11" s="6" t="s">
        <v>385</v>
      </c>
      <c r="L11" s="145" t="s">
        <v>455</v>
      </c>
      <c r="M11" s="146" t="s">
        <v>741</v>
      </c>
      <c r="N11" s="385" t="s">
        <v>456</v>
      </c>
      <c r="O11" s="141">
        <v>1596.400001</v>
      </c>
      <c r="P11" s="51">
        <v>1.33</v>
      </c>
      <c r="Q11" s="51">
        <v>3000</v>
      </c>
      <c r="R11" s="246">
        <v>0.13274336283185842</v>
      </c>
      <c r="S11" s="115">
        <v>500000</v>
      </c>
      <c r="U11" s="177" t="s">
        <v>399</v>
      </c>
      <c r="V11" s="39">
        <f t="shared" si="0"/>
        <v>2189.1999999999998</v>
      </c>
      <c r="W11" s="191">
        <f t="shared" si="4"/>
        <v>5.5554075262536799E-2</v>
      </c>
      <c r="X11" s="16">
        <f t="shared" si="1"/>
        <v>25</v>
      </c>
      <c r="Y11" s="191">
        <f t="shared" si="5"/>
        <v>0.2501250625312656</v>
      </c>
      <c r="Z11" s="39">
        <f t="shared" si="2"/>
        <v>7600</v>
      </c>
      <c r="AA11" s="191">
        <f t="shared" si="6"/>
        <v>7.8446754265542262E-2</v>
      </c>
      <c r="AB11" s="159">
        <f t="shared" si="7"/>
        <v>0.24</v>
      </c>
      <c r="AC11" s="39">
        <f t="shared" si="3"/>
        <v>2100000</v>
      </c>
    </row>
    <row r="12" spans="2:29" ht="41.4" x14ac:dyDescent="0.3">
      <c r="B12" s="6">
        <f t="shared" si="8"/>
        <v>10</v>
      </c>
      <c r="C12" s="17" t="s">
        <v>742</v>
      </c>
      <c r="D12" s="6" t="s">
        <v>378</v>
      </c>
      <c r="E12" s="11" t="s">
        <v>391</v>
      </c>
      <c r="F12" s="11" t="s">
        <v>247</v>
      </c>
      <c r="G12" s="11" t="s">
        <v>248</v>
      </c>
      <c r="H12" s="29">
        <v>43983</v>
      </c>
      <c r="I12" s="29">
        <v>44196</v>
      </c>
      <c r="J12" s="17" t="s">
        <v>249</v>
      </c>
      <c r="K12" s="6" t="s">
        <v>384</v>
      </c>
      <c r="L12" s="145" t="s">
        <v>455</v>
      </c>
      <c r="M12" s="146" t="s">
        <v>743</v>
      </c>
      <c r="N12" s="385" t="s">
        <v>456</v>
      </c>
      <c r="O12" s="141">
        <v>1282.3599999999999</v>
      </c>
      <c r="P12" s="31">
        <v>2.5</v>
      </c>
      <c r="Q12" s="31">
        <v>550</v>
      </c>
      <c r="R12" s="246">
        <v>0.1111111111111111</v>
      </c>
      <c r="S12" s="115">
        <v>1200000</v>
      </c>
      <c r="U12" s="3" t="s">
        <v>392</v>
      </c>
      <c r="V12" s="39">
        <f t="shared" si="0"/>
        <v>3277.5</v>
      </c>
      <c r="W12" s="191">
        <f t="shared" si="4"/>
        <v>8.3171241400038537E-2</v>
      </c>
      <c r="X12" s="16">
        <f t="shared" si="1"/>
        <v>1.9</v>
      </c>
      <c r="Y12" s="191">
        <f t="shared" si="5"/>
        <v>1.9009504752376186E-2</v>
      </c>
      <c r="Z12" s="39">
        <f t="shared" si="2"/>
        <v>48166</v>
      </c>
      <c r="AA12" s="191">
        <f t="shared" si="6"/>
        <v>0.49716662709922482</v>
      </c>
      <c r="AB12" s="159">
        <f t="shared" si="7"/>
        <v>0.12</v>
      </c>
      <c r="AC12" s="39">
        <f t="shared" si="3"/>
        <v>1500000</v>
      </c>
    </row>
    <row r="13" spans="2:29" ht="138" x14ac:dyDescent="0.3">
      <c r="B13" s="6">
        <f t="shared" si="8"/>
        <v>11</v>
      </c>
      <c r="C13" s="45" t="s">
        <v>729</v>
      </c>
      <c r="D13" s="6" t="s">
        <v>378</v>
      </c>
      <c r="E13" s="11" t="s">
        <v>398</v>
      </c>
      <c r="F13" s="6" t="s">
        <v>307</v>
      </c>
      <c r="G13" s="26" t="s">
        <v>308</v>
      </c>
      <c r="H13" s="10">
        <v>43525</v>
      </c>
      <c r="I13" s="10">
        <v>44561</v>
      </c>
      <c r="J13" s="17" t="s">
        <v>309</v>
      </c>
      <c r="K13" s="6" t="s">
        <v>384</v>
      </c>
      <c r="L13" s="145" t="s">
        <v>455</v>
      </c>
      <c r="M13" s="146" t="s">
        <v>744</v>
      </c>
      <c r="N13" s="385" t="s">
        <v>457</v>
      </c>
      <c r="O13" s="141">
        <v>10424.858</v>
      </c>
      <c r="P13" s="42">
        <v>5.9</v>
      </c>
      <c r="Q13" s="42">
        <f>6625+100</f>
        <v>6725</v>
      </c>
      <c r="R13" s="246">
        <v>0.17</v>
      </c>
      <c r="S13" s="25">
        <v>3120000</v>
      </c>
      <c r="U13" s="3" t="s">
        <v>394</v>
      </c>
      <c r="V13" s="39">
        <f t="shared" si="0"/>
        <v>6004.4750000000004</v>
      </c>
      <c r="W13" s="191">
        <f t="shared" si="4"/>
        <v>0.15237212500549091</v>
      </c>
      <c r="X13" s="16">
        <f t="shared" si="1"/>
        <v>8.1999999999999993</v>
      </c>
      <c r="Y13" s="191">
        <f t="shared" si="5"/>
        <v>8.2041020510255108E-2</v>
      </c>
      <c r="Z13" s="39">
        <f t="shared" si="2"/>
        <v>2614</v>
      </c>
      <c r="AA13" s="191">
        <f t="shared" si="6"/>
        <v>2.6981554690806247E-2</v>
      </c>
      <c r="AB13" s="159">
        <f t="shared" si="7"/>
        <v>0.16</v>
      </c>
      <c r="AC13" s="39">
        <f t="shared" si="3"/>
        <v>2600000</v>
      </c>
    </row>
    <row r="14" spans="2:29" ht="41.4" x14ac:dyDescent="0.3">
      <c r="B14" s="6">
        <f t="shared" si="8"/>
        <v>12</v>
      </c>
      <c r="C14" s="105" t="s">
        <v>731</v>
      </c>
      <c r="D14" s="6" t="s">
        <v>378</v>
      </c>
      <c r="E14" s="11" t="s">
        <v>397</v>
      </c>
      <c r="F14" s="104" t="s">
        <v>328</v>
      </c>
      <c r="G14" s="104" t="s">
        <v>326</v>
      </c>
      <c r="H14" s="106">
        <v>44299</v>
      </c>
      <c r="I14" s="106">
        <v>44549</v>
      </c>
      <c r="J14" s="105" t="s">
        <v>327</v>
      </c>
      <c r="K14" s="6" t="s">
        <v>385</v>
      </c>
      <c r="L14" s="145" t="s">
        <v>455</v>
      </c>
      <c r="M14" s="146" t="s">
        <v>824</v>
      </c>
      <c r="N14" s="385" t="s">
        <v>456</v>
      </c>
      <c r="O14" s="141">
        <v>1564.5940000000001</v>
      </c>
      <c r="P14" s="107">
        <v>16.489999999999998</v>
      </c>
      <c r="Q14" s="107">
        <v>4005</v>
      </c>
      <c r="R14" s="246">
        <v>0.2</v>
      </c>
      <c r="S14" s="312">
        <v>4100000</v>
      </c>
      <c r="U14" s="3" t="s">
        <v>393</v>
      </c>
      <c r="V14" s="39">
        <f t="shared" si="0"/>
        <v>0</v>
      </c>
      <c r="W14" s="191">
        <f t="shared" si="4"/>
        <v>0</v>
      </c>
      <c r="X14" s="16">
        <f t="shared" si="1"/>
        <v>0</v>
      </c>
      <c r="Y14" s="191">
        <f t="shared" si="5"/>
        <v>0</v>
      </c>
      <c r="Z14" s="39">
        <f t="shared" si="2"/>
        <v>0</v>
      </c>
      <c r="AA14" s="191">
        <f t="shared" si="6"/>
        <v>0</v>
      </c>
      <c r="AB14" s="39">
        <v>0</v>
      </c>
      <c r="AC14" s="39">
        <f t="shared" si="3"/>
        <v>0</v>
      </c>
    </row>
    <row r="15" spans="2:29" ht="41.4" x14ac:dyDescent="0.3">
      <c r="B15" s="6">
        <f t="shared" si="8"/>
        <v>13</v>
      </c>
      <c r="C15" s="105" t="s">
        <v>732</v>
      </c>
      <c r="D15" s="6" t="s">
        <v>378</v>
      </c>
      <c r="E15" s="11" t="s">
        <v>394</v>
      </c>
      <c r="F15" s="11" t="s">
        <v>409</v>
      </c>
      <c r="G15" s="35" t="s">
        <v>410</v>
      </c>
      <c r="H15" s="10" t="s">
        <v>417</v>
      </c>
      <c r="I15" s="10" t="s">
        <v>418</v>
      </c>
      <c r="J15" s="11" t="s">
        <v>416</v>
      </c>
      <c r="K15" s="6" t="s">
        <v>385</v>
      </c>
      <c r="L15" s="145" t="s">
        <v>455</v>
      </c>
      <c r="M15" s="146" t="s">
        <v>745</v>
      </c>
      <c r="N15" s="385" t="s">
        <v>456</v>
      </c>
      <c r="O15" s="141">
        <v>2859.4749999999999</v>
      </c>
      <c r="P15" s="31">
        <v>5</v>
      </c>
      <c r="Q15" s="31">
        <v>2000</v>
      </c>
      <c r="R15" s="246">
        <v>0.18</v>
      </c>
      <c r="S15" s="115">
        <v>1900000</v>
      </c>
      <c r="U15" s="3" t="s">
        <v>395</v>
      </c>
      <c r="V15" s="39">
        <f t="shared" si="0"/>
        <v>0</v>
      </c>
      <c r="W15" s="191">
        <f t="shared" si="4"/>
        <v>0</v>
      </c>
      <c r="X15" s="16">
        <f t="shared" si="1"/>
        <v>0</v>
      </c>
      <c r="Y15" s="191">
        <f t="shared" si="5"/>
        <v>0</v>
      </c>
      <c r="Z15" s="39">
        <f t="shared" si="2"/>
        <v>0</v>
      </c>
      <c r="AA15" s="191">
        <f t="shared" si="6"/>
        <v>0</v>
      </c>
      <c r="AB15" s="39">
        <v>0</v>
      </c>
      <c r="AC15" s="39">
        <f t="shared" si="3"/>
        <v>0</v>
      </c>
    </row>
    <row r="16" spans="2:29" ht="27.6" x14ac:dyDescent="0.3">
      <c r="B16" s="6">
        <f t="shared" si="8"/>
        <v>14</v>
      </c>
      <c r="C16" s="105" t="s">
        <v>733</v>
      </c>
      <c r="D16" s="6" t="s">
        <v>378</v>
      </c>
      <c r="E16" s="11" t="s">
        <v>394</v>
      </c>
      <c r="F16" s="11" t="s">
        <v>409</v>
      </c>
      <c r="G16" s="35" t="s">
        <v>410</v>
      </c>
      <c r="H16" s="10" t="s">
        <v>419</v>
      </c>
      <c r="I16" s="10" t="s">
        <v>420</v>
      </c>
      <c r="J16" s="11" t="s">
        <v>421</v>
      </c>
      <c r="K16" s="6" t="s">
        <v>385</v>
      </c>
      <c r="L16" s="145" t="s">
        <v>455</v>
      </c>
      <c r="M16" s="146" t="s">
        <v>746</v>
      </c>
      <c r="N16" s="385" t="s">
        <v>456</v>
      </c>
      <c r="O16" s="141">
        <v>3145</v>
      </c>
      <c r="P16" s="31">
        <v>3.2</v>
      </c>
      <c r="Q16" s="31">
        <v>614</v>
      </c>
      <c r="R16" s="246">
        <v>0.14000000000000001</v>
      </c>
      <c r="S16" s="115">
        <v>700000</v>
      </c>
      <c r="U16" s="3" t="s">
        <v>396</v>
      </c>
      <c r="V16" s="39">
        <f t="shared" si="0"/>
        <v>1992.9880000000001</v>
      </c>
      <c r="W16" s="191">
        <f t="shared" si="4"/>
        <v>5.057491565381541E-2</v>
      </c>
      <c r="X16" s="16">
        <f t="shared" si="1"/>
        <v>8</v>
      </c>
      <c r="Y16" s="191">
        <f t="shared" si="5"/>
        <v>8.0040020010004986E-2</v>
      </c>
      <c r="Z16" s="39">
        <f t="shared" si="2"/>
        <v>17148</v>
      </c>
      <c r="AA16" s="191">
        <f t="shared" si="6"/>
        <v>0.17700065028230511</v>
      </c>
      <c r="AB16" s="159">
        <f>+SUMIFS(R:R,E:E,U16)/COUNTIFS(E:E,U16)</f>
        <v>0.16</v>
      </c>
      <c r="AC16" s="39">
        <f t="shared" si="3"/>
        <v>4800000</v>
      </c>
    </row>
    <row r="17" spans="15:29" x14ac:dyDescent="0.3">
      <c r="O17" s="202">
        <f>+SUM(O3:O16)</f>
        <v>39406.650000999995</v>
      </c>
      <c r="P17" s="202">
        <f>+SUM(P3:P16)</f>
        <v>99.95</v>
      </c>
      <c r="Q17" s="202">
        <f>+SUM(Q3:Q16)</f>
        <v>96881</v>
      </c>
      <c r="S17" s="313">
        <f>+SUM(S3:S16)</f>
        <v>52165000</v>
      </c>
      <c r="V17" s="172">
        <f>+SUM(V3:V16)</f>
        <v>39406.650001000002</v>
      </c>
      <c r="X17" s="172">
        <f>+SUM(X3:X16)</f>
        <v>99.950000000000017</v>
      </c>
      <c r="Z17" s="172">
        <f>+SUM(Z3:Z16)</f>
        <v>96881</v>
      </c>
      <c r="AB17" s="353">
        <f>+AVERAGE(AB3:AB16)</f>
        <v>0.13209019242801842</v>
      </c>
      <c r="AC17" s="172">
        <f>+SUM(AC3:AC16)</f>
        <v>52165000</v>
      </c>
    </row>
    <row r="18" spans="15:29" x14ac:dyDescent="0.3">
      <c r="V18" s="167" t="b">
        <f>+V17=O17</f>
        <v>1</v>
      </c>
      <c r="W18" s="167"/>
      <c r="X18" s="167" t="b">
        <f>+X17=P17</f>
        <v>1</v>
      </c>
      <c r="Y18" s="247"/>
      <c r="Z18" s="167" t="b">
        <f>+Z17=Q17</f>
        <v>1</v>
      </c>
      <c r="AA18" s="167"/>
      <c r="AB18" s="167"/>
      <c r="AC18" s="167" t="b">
        <f>+AC17=S17</f>
        <v>1</v>
      </c>
    </row>
  </sheetData>
  <dataValidations count="1">
    <dataValidation type="list" allowBlank="1" showInputMessage="1" showErrorMessage="1" sqref="P14:Q14" xr:uid="{1E58089D-47A3-46C1-A567-43157F34F9E5}"/>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'1'!$B$17:$B$30</xm:f>
          </x14:formula1>
          <xm:sqref>E3:E16</xm:sqref>
        </x14:dataValidation>
        <x14:dataValidation type="list" allowBlank="1" showInputMessage="1" showErrorMessage="1" xr:uid="{00000000-0002-0000-0400-000001000000}">
          <x14:formula1>
            <xm:f>'1'!$B$11:$B$15</xm:f>
          </x14:formula1>
          <xm:sqref>D3:D16</xm:sqref>
        </x14:dataValidation>
        <x14:dataValidation type="list" allowBlank="1" showInputMessage="1" showErrorMessage="1" xr:uid="{00000000-0002-0000-0400-000002000000}">
          <x14:formula1>
            <xm:f>'1'!$B$3:$B$4</xm:f>
          </x14:formula1>
          <xm:sqref>K3:K16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AB3F3-2050-448B-9D84-B92CB70E3DF8}">
  <dimension ref="A2:AC153"/>
  <sheetViews>
    <sheetView showGridLines="0" workbookViewId="0">
      <selection activeCell="A3" sqref="A3:Q134"/>
    </sheetView>
  </sheetViews>
  <sheetFormatPr defaultColWidth="8.77734375" defaultRowHeight="13.2" x14ac:dyDescent="0.3"/>
  <cols>
    <col min="1" max="1" width="23.44140625" style="257" bestFit="1" customWidth="1"/>
    <col min="2" max="2" width="23" style="258" bestFit="1" customWidth="1"/>
    <col min="3" max="3" width="10.109375" style="258" bestFit="1" customWidth="1"/>
    <col min="4" max="4" width="7.33203125" style="259" customWidth="1"/>
    <col min="5" max="5" width="10" style="258" customWidth="1"/>
    <col min="6" max="6" width="10.109375" style="258" bestFit="1" customWidth="1"/>
    <col min="7" max="7" width="7.6640625" style="259" customWidth="1"/>
    <col min="8" max="8" width="13.109375" style="259" bestFit="1" customWidth="1"/>
    <col min="9" max="9" width="9.33203125" style="259" customWidth="1"/>
    <col min="10" max="10" width="7.33203125" style="259" customWidth="1"/>
    <col min="11" max="11" width="13.109375" style="259" bestFit="1" customWidth="1"/>
    <col min="12" max="12" width="9.33203125" style="259" customWidth="1"/>
    <col min="13" max="13" width="7.44140625" style="259" customWidth="1"/>
    <col min="14" max="14" width="9.44140625" style="258" customWidth="1"/>
    <col min="15" max="15" width="9.77734375" style="258" customWidth="1"/>
    <col min="16" max="16" width="9.109375" style="259" bestFit="1" customWidth="1"/>
    <col min="17" max="17" width="17.6640625" style="258" bestFit="1" customWidth="1"/>
    <col min="18" max="18" width="10.44140625" style="258" customWidth="1"/>
    <col min="19" max="19" width="9.109375" style="259" bestFit="1" customWidth="1"/>
    <col min="20" max="20" width="16.33203125" style="258" customWidth="1"/>
    <col min="21" max="21" width="14.44140625" style="258" customWidth="1"/>
    <col min="22" max="22" width="9.44140625" style="259" customWidth="1"/>
    <col min="23" max="23" width="17" style="258" customWidth="1"/>
    <col min="24" max="24" width="14.77734375" style="258" customWidth="1"/>
    <col min="25" max="25" width="9.77734375" style="259" customWidth="1"/>
    <col min="26" max="27" width="13.109375" style="258" bestFit="1" customWidth="1"/>
    <col min="28" max="28" width="9.44140625" style="259" bestFit="1" customWidth="1"/>
    <col min="29" max="29" width="11" style="257" bestFit="1" customWidth="1"/>
    <col min="30" max="16384" width="8.77734375" style="257"/>
  </cols>
  <sheetData>
    <row r="2" spans="1:29" x14ac:dyDescent="0.3">
      <c r="A2" s="470" t="s">
        <v>829</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row>
    <row r="3" spans="1:29" ht="29.25" customHeight="1" x14ac:dyDescent="0.3">
      <c r="A3" s="448" t="s">
        <v>761</v>
      </c>
      <c r="B3" s="471" t="s">
        <v>830</v>
      </c>
      <c r="C3" s="471"/>
      <c r="D3" s="471"/>
      <c r="E3" s="472" t="s">
        <v>831</v>
      </c>
      <c r="F3" s="473"/>
      <c r="G3" s="474"/>
      <c r="H3" s="455" t="s">
        <v>832</v>
      </c>
      <c r="I3" s="456"/>
      <c r="J3" s="457"/>
      <c r="K3" s="451" t="s">
        <v>833</v>
      </c>
      <c r="L3" s="258"/>
      <c r="M3" s="258"/>
    </row>
    <row r="4" spans="1:29" x14ac:dyDescent="0.3">
      <c r="A4" s="449"/>
      <c r="B4" s="467" t="s">
        <v>834</v>
      </c>
      <c r="C4" s="468"/>
      <c r="D4" s="469"/>
      <c r="E4" s="467" t="s">
        <v>835</v>
      </c>
      <c r="F4" s="468"/>
      <c r="G4" s="469"/>
      <c r="H4" s="460" t="s">
        <v>836</v>
      </c>
      <c r="I4" s="461"/>
      <c r="J4" s="462"/>
      <c r="K4" s="452"/>
      <c r="L4" s="258"/>
      <c r="M4" s="258"/>
    </row>
    <row r="5" spans="1:29" s="262" customFormat="1" x14ac:dyDescent="0.3">
      <c r="A5" s="450"/>
      <c r="B5" s="260" t="s">
        <v>837</v>
      </c>
      <c r="C5" s="260" t="s">
        <v>838</v>
      </c>
      <c r="D5" s="261" t="s">
        <v>763</v>
      </c>
      <c r="E5" s="260" t="s">
        <v>837</v>
      </c>
      <c r="F5" s="260" t="s">
        <v>838</v>
      </c>
      <c r="G5" s="261" t="s">
        <v>763</v>
      </c>
      <c r="H5" s="260" t="s">
        <v>837</v>
      </c>
      <c r="I5" s="260" t="s">
        <v>838</v>
      </c>
      <c r="J5" s="261" t="s">
        <v>763</v>
      </c>
      <c r="K5" s="453"/>
      <c r="L5" s="258"/>
      <c r="M5" s="258"/>
    </row>
    <row r="6" spans="1:29" x14ac:dyDescent="0.3">
      <c r="A6" s="263" t="s">
        <v>395</v>
      </c>
      <c r="B6" s="264">
        <v>72732</v>
      </c>
      <c r="C6" s="264">
        <v>72378</v>
      </c>
      <c r="D6" s="265">
        <f>C6*100/B6</f>
        <v>99.51328163669362</v>
      </c>
      <c r="E6" s="264">
        <v>72729</v>
      </c>
      <c r="F6" s="264">
        <v>71538</v>
      </c>
      <c r="G6" s="265">
        <f>F6*100/E6</f>
        <v>98.362413892670048</v>
      </c>
      <c r="H6" s="266">
        <v>45592</v>
      </c>
      <c r="I6" s="266">
        <v>43227</v>
      </c>
      <c r="J6" s="265">
        <f>I6*100/H6</f>
        <v>94.812686436216879</v>
      </c>
      <c r="K6" s="267">
        <f t="shared" ref="K6:K19" si="0">C6+F6+I6</f>
        <v>187143</v>
      </c>
      <c r="L6" s="258"/>
      <c r="M6" s="258"/>
      <c r="AC6" s="268">
        <f t="shared" ref="AC6:AC19" si="1">C6+F6+C44+I63+C120+F120+L6</f>
        <v>321110</v>
      </c>
    </row>
    <row r="7" spans="1:29" x14ac:dyDescent="0.3">
      <c r="A7" s="263" t="s">
        <v>386</v>
      </c>
      <c r="B7" s="264">
        <v>83608</v>
      </c>
      <c r="C7" s="264">
        <v>83344</v>
      </c>
      <c r="D7" s="265">
        <f t="shared" ref="D7:D19" si="2">C7*100/B7</f>
        <v>99.684240742512685</v>
      </c>
      <c r="E7" s="264">
        <v>83608</v>
      </c>
      <c r="F7" s="264">
        <v>83482</v>
      </c>
      <c r="G7" s="265">
        <f>F7*100/E7</f>
        <v>99.849296718017413</v>
      </c>
      <c r="H7" s="266">
        <v>80244</v>
      </c>
      <c r="I7" s="266">
        <v>76745</v>
      </c>
      <c r="J7" s="265">
        <f t="shared" ref="J7:J19" si="3">I7*100/H7</f>
        <v>95.639549374408062</v>
      </c>
      <c r="K7" s="267">
        <f t="shared" si="0"/>
        <v>243571</v>
      </c>
      <c r="L7" s="258"/>
      <c r="M7" s="258"/>
      <c r="AC7" s="268">
        <f t="shared" si="1"/>
        <v>445900</v>
      </c>
    </row>
    <row r="8" spans="1:29" x14ac:dyDescent="0.3">
      <c r="A8" s="263" t="s">
        <v>839</v>
      </c>
      <c r="B8" s="264">
        <v>41885</v>
      </c>
      <c r="C8" s="264">
        <v>41846</v>
      </c>
      <c r="D8" s="265">
        <f t="shared" si="2"/>
        <v>99.906887907365402</v>
      </c>
      <c r="E8" s="264">
        <v>41885</v>
      </c>
      <c r="F8" s="264">
        <v>41846</v>
      </c>
      <c r="G8" s="265">
        <f t="shared" ref="G8:G19" si="4">F8*100/E8</f>
        <v>99.906887907365402</v>
      </c>
      <c r="H8" s="266">
        <v>38111</v>
      </c>
      <c r="I8" s="266">
        <v>38000</v>
      </c>
      <c r="J8" s="265">
        <f t="shared" si="3"/>
        <v>99.708745506546663</v>
      </c>
      <c r="K8" s="267">
        <f t="shared" si="0"/>
        <v>121692</v>
      </c>
      <c r="L8" s="258"/>
      <c r="M8" s="258"/>
      <c r="AC8" s="268">
        <f t="shared" si="1"/>
        <v>224988</v>
      </c>
    </row>
    <row r="9" spans="1:29" x14ac:dyDescent="0.3">
      <c r="A9" s="263" t="s">
        <v>388</v>
      </c>
      <c r="B9" s="264">
        <v>38305</v>
      </c>
      <c r="C9" s="264">
        <v>38258</v>
      </c>
      <c r="D9" s="265">
        <f t="shared" si="2"/>
        <v>99.877300613496928</v>
      </c>
      <c r="E9" s="264">
        <v>38305</v>
      </c>
      <c r="F9" s="264">
        <v>38231</v>
      </c>
      <c r="G9" s="265">
        <f t="shared" si="4"/>
        <v>99.806813731888781</v>
      </c>
      <c r="H9" s="266">
        <v>33644</v>
      </c>
      <c r="I9" s="266">
        <v>33396</v>
      </c>
      <c r="J9" s="265">
        <f t="shared" si="3"/>
        <v>99.262870051123528</v>
      </c>
      <c r="K9" s="267">
        <f t="shared" si="0"/>
        <v>109885</v>
      </c>
      <c r="L9" s="258"/>
      <c r="M9" s="258"/>
      <c r="AC9" s="268">
        <f t="shared" si="1"/>
        <v>202906</v>
      </c>
    </row>
    <row r="10" spans="1:29" x14ac:dyDescent="0.3">
      <c r="A10" s="263" t="s">
        <v>389</v>
      </c>
      <c r="B10" s="264">
        <v>91135</v>
      </c>
      <c r="C10" s="264">
        <v>85609</v>
      </c>
      <c r="D10" s="265">
        <f t="shared" si="2"/>
        <v>93.936467877324844</v>
      </c>
      <c r="E10" s="264">
        <v>91135</v>
      </c>
      <c r="F10" s="264">
        <v>85609</v>
      </c>
      <c r="G10" s="265">
        <f t="shared" si="4"/>
        <v>93.936467877324844</v>
      </c>
      <c r="H10" s="266">
        <v>79195</v>
      </c>
      <c r="I10" s="266">
        <v>79186</v>
      </c>
      <c r="J10" s="265">
        <f t="shared" si="3"/>
        <v>99.988635646189778</v>
      </c>
      <c r="K10" s="267">
        <f t="shared" si="0"/>
        <v>250404</v>
      </c>
      <c r="L10" s="258"/>
      <c r="M10" s="258"/>
      <c r="AC10" s="268">
        <f t="shared" si="1"/>
        <v>458154</v>
      </c>
    </row>
    <row r="11" spans="1:29" x14ac:dyDescent="0.3">
      <c r="A11" s="263" t="s">
        <v>840</v>
      </c>
      <c r="B11" s="264">
        <v>25780</v>
      </c>
      <c r="C11" s="264">
        <v>25593</v>
      </c>
      <c r="D11" s="265">
        <v>99.274631497284716</v>
      </c>
      <c r="E11" s="264">
        <v>25778</v>
      </c>
      <c r="F11" s="264">
        <v>25483</v>
      </c>
      <c r="G11" s="265">
        <v>98.855613313678319</v>
      </c>
      <c r="H11" s="264">
        <v>20074</v>
      </c>
      <c r="I11" s="264">
        <v>20051</v>
      </c>
      <c r="J11" s="265">
        <f>I11/H11*100</f>
        <v>99.885423931453616</v>
      </c>
      <c r="K11" s="267">
        <f t="shared" si="0"/>
        <v>71127</v>
      </c>
      <c r="L11" s="258"/>
      <c r="M11" s="258"/>
      <c r="AC11" s="268">
        <f t="shared" si="1"/>
        <v>134675</v>
      </c>
    </row>
    <row r="12" spans="1:29" x14ac:dyDescent="0.3">
      <c r="A12" s="263" t="s">
        <v>391</v>
      </c>
      <c r="B12" s="264">
        <v>77178</v>
      </c>
      <c r="C12" s="264">
        <v>77151</v>
      </c>
      <c r="D12" s="265">
        <f t="shared" si="2"/>
        <v>99.965015937184177</v>
      </c>
      <c r="E12" s="264">
        <v>77178</v>
      </c>
      <c r="F12" s="264">
        <v>77138</v>
      </c>
      <c r="G12" s="265">
        <f t="shared" si="4"/>
        <v>99.948171758791361</v>
      </c>
      <c r="H12" s="266">
        <v>68530</v>
      </c>
      <c r="I12" s="266">
        <v>68387</v>
      </c>
      <c r="J12" s="265">
        <f t="shared" si="3"/>
        <v>99.791332263242381</v>
      </c>
      <c r="K12" s="267">
        <f t="shared" si="0"/>
        <v>222676</v>
      </c>
      <c r="L12" s="258"/>
      <c r="M12" s="258"/>
      <c r="AC12" s="268">
        <f t="shared" si="1"/>
        <v>400592</v>
      </c>
    </row>
    <row r="13" spans="1:29" x14ac:dyDescent="0.3">
      <c r="A13" s="263" t="s">
        <v>392</v>
      </c>
      <c r="B13" s="264">
        <v>106475</v>
      </c>
      <c r="C13" s="264">
        <v>106328</v>
      </c>
      <c r="D13" s="265">
        <f t="shared" si="2"/>
        <v>99.86193942239963</v>
      </c>
      <c r="E13" s="264">
        <v>106475</v>
      </c>
      <c r="F13" s="264">
        <v>106165</v>
      </c>
      <c r="G13" s="265">
        <f t="shared" si="4"/>
        <v>99.708851843155671</v>
      </c>
      <c r="H13" s="266">
        <v>95113</v>
      </c>
      <c r="I13" s="266">
        <v>94684</v>
      </c>
      <c r="J13" s="265">
        <f t="shared" si="3"/>
        <v>99.548957555749482</v>
      </c>
      <c r="K13" s="267">
        <f t="shared" si="0"/>
        <v>307177</v>
      </c>
      <c r="L13" s="258"/>
      <c r="M13" s="258"/>
      <c r="AC13" s="268">
        <f t="shared" si="1"/>
        <v>561031</v>
      </c>
    </row>
    <row r="14" spans="1:29" x14ac:dyDescent="0.3">
      <c r="A14" s="263" t="s">
        <v>393</v>
      </c>
      <c r="B14" s="264">
        <v>76835</v>
      </c>
      <c r="C14" s="264">
        <v>76672</v>
      </c>
      <c r="D14" s="265">
        <f t="shared" si="2"/>
        <v>99.787857096375348</v>
      </c>
      <c r="E14" s="264">
        <v>76835</v>
      </c>
      <c r="F14" s="264">
        <v>76668</v>
      </c>
      <c r="G14" s="265">
        <f t="shared" si="4"/>
        <v>99.782651135550211</v>
      </c>
      <c r="H14" s="266">
        <v>66418</v>
      </c>
      <c r="I14" s="266">
        <v>66418</v>
      </c>
      <c r="J14" s="265">
        <f t="shared" si="3"/>
        <v>100</v>
      </c>
      <c r="K14" s="267">
        <f t="shared" si="0"/>
        <v>219758</v>
      </c>
      <c r="L14" s="258"/>
      <c r="M14" s="258"/>
      <c r="AC14" s="268">
        <f t="shared" si="1"/>
        <v>400394</v>
      </c>
    </row>
    <row r="15" spans="1:29" x14ac:dyDescent="0.3">
      <c r="A15" s="263" t="s">
        <v>394</v>
      </c>
      <c r="B15" s="264">
        <v>20011</v>
      </c>
      <c r="C15" s="264">
        <v>20005</v>
      </c>
      <c r="D15" s="265">
        <f t="shared" si="2"/>
        <v>99.970016490929993</v>
      </c>
      <c r="E15" s="264">
        <v>20011</v>
      </c>
      <c r="F15" s="264">
        <v>20006</v>
      </c>
      <c r="G15" s="265">
        <f t="shared" si="4"/>
        <v>99.975013742441661</v>
      </c>
      <c r="H15" s="266">
        <v>18574</v>
      </c>
      <c r="I15" s="266">
        <v>18533</v>
      </c>
      <c r="J15" s="265">
        <f t="shared" si="3"/>
        <v>99.779261333046193</v>
      </c>
      <c r="K15" s="267">
        <f t="shared" si="0"/>
        <v>58544</v>
      </c>
      <c r="L15" s="258"/>
      <c r="M15" s="258"/>
      <c r="AC15" s="268">
        <f t="shared" si="1"/>
        <v>107963</v>
      </c>
    </row>
    <row r="16" spans="1:29" x14ac:dyDescent="0.3">
      <c r="A16" s="263" t="s">
        <v>396</v>
      </c>
      <c r="B16" s="264">
        <v>73906</v>
      </c>
      <c r="C16" s="264">
        <v>73843</v>
      </c>
      <c r="D16" s="265">
        <f t="shared" si="2"/>
        <v>99.91475658268611</v>
      </c>
      <c r="E16" s="264">
        <v>73906</v>
      </c>
      <c r="F16" s="264">
        <v>73834</v>
      </c>
      <c r="G16" s="265">
        <f t="shared" si="4"/>
        <v>99.902578951641274</v>
      </c>
      <c r="H16" s="266">
        <v>65786</v>
      </c>
      <c r="I16" s="266">
        <v>64360</v>
      </c>
      <c r="J16" s="265">
        <f t="shared" si="3"/>
        <v>97.832365548900981</v>
      </c>
      <c r="K16" s="267">
        <f t="shared" si="0"/>
        <v>212037</v>
      </c>
      <c r="L16" s="258"/>
      <c r="M16" s="258"/>
      <c r="AC16" s="268">
        <f t="shared" si="1"/>
        <v>393359</v>
      </c>
    </row>
    <row r="17" spans="1:29" x14ac:dyDescent="0.3">
      <c r="A17" s="263" t="s">
        <v>398</v>
      </c>
      <c r="B17" s="264">
        <v>99325</v>
      </c>
      <c r="C17" s="264">
        <v>99297</v>
      </c>
      <c r="D17" s="265">
        <f t="shared" si="2"/>
        <v>99.971809715580164</v>
      </c>
      <c r="E17" s="264">
        <v>99325</v>
      </c>
      <c r="F17" s="264">
        <v>99294</v>
      </c>
      <c r="G17" s="265">
        <f t="shared" si="4"/>
        <v>99.968789327963762</v>
      </c>
      <c r="H17" s="266">
        <v>83141</v>
      </c>
      <c r="I17" s="266">
        <v>83078</v>
      </c>
      <c r="J17" s="265">
        <f t="shared" si="3"/>
        <v>99.924225111557476</v>
      </c>
      <c r="K17" s="267">
        <f t="shared" si="0"/>
        <v>281669</v>
      </c>
      <c r="L17" s="258"/>
      <c r="M17" s="258"/>
      <c r="AC17" s="268">
        <f t="shared" si="1"/>
        <v>526155</v>
      </c>
    </row>
    <row r="18" spans="1:29" x14ac:dyDescent="0.3">
      <c r="A18" s="263" t="s">
        <v>841</v>
      </c>
      <c r="B18" s="264">
        <v>42383</v>
      </c>
      <c r="C18" s="264">
        <v>42364</v>
      </c>
      <c r="D18" s="265">
        <f t="shared" si="2"/>
        <v>99.955170705235588</v>
      </c>
      <c r="E18" s="264">
        <v>42383</v>
      </c>
      <c r="F18" s="264">
        <v>42364</v>
      </c>
      <c r="G18" s="265">
        <f t="shared" si="4"/>
        <v>99.955170705235588</v>
      </c>
      <c r="H18" s="266">
        <v>41258</v>
      </c>
      <c r="I18" s="266">
        <v>41241</v>
      </c>
      <c r="J18" s="265">
        <f t="shared" si="3"/>
        <v>99.958795869891901</v>
      </c>
      <c r="K18" s="267">
        <f t="shared" si="0"/>
        <v>125969</v>
      </c>
      <c r="L18" s="258"/>
      <c r="M18" s="258"/>
      <c r="AC18" s="268">
        <f t="shared" si="1"/>
        <v>238048</v>
      </c>
    </row>
    <row r="19" spans="1:29" x14ac:dyDescent="0.3">
      <c r="A19" s="263" t="s">
        <v>842</v>
      </c>
      <c r="B19" s="264">
        <v>40011</v>
      </c>
      <c r="C19" s="264">
        <v>39808</v>
      </c>
      <c r="D19" s="265">
        <f t="shared" si="2"/>
        <v>99.492639524130865</v>
      </c>
      <c r="E19" s="264">
        <v>40011</v>
      </c>
      <c r="F19" s="264">
        <v>39427</v>
      </c>
      <c r="G19" s="265">
        <f t="shared" si="4"/>
        <v>98.540401389617855</v>
      </c>
      <c r="H19" s="266">
        <v>38309</v>
      </c>
      <c r="I19" s="266">
        <v>38060</v>
      </c>
      <c r="J19" s="265">
        <f t="shared" si="3"/>
        <v>99.350022187997595</v>
      </c>
      <c r="K19" s="267">
        <f t="shared" si="0"/>
        <v>117295</v>
      </c>
      <c r="L19" s="258"/>
      <c r="M19" s="258"/>
      <c r="AC19" s="268">
        <f t="shared" si="1"/>
        <v>225669</v>
      </c>
    </row>
    <row r="20" spans="1:29" x14ac:dyDescent="0.3">
      <c r="A20" s="269" t="s">
        <v>828</v>
      </c>
      <c r="B20" s="270">
        <f>SUM(B6:B19)</f>
        <v>889569</v>
      </c>
      <c r="C20" s="270">
        <f>SUM(C6:C19)</f>
        <v>882496</v>
      </c>
      <c r="D20" s="271">
        <f>C20*100/B20</f>
        <v>99.204895854059657</v>
      </c>
      <c r="E20" s="270">
        <f>SUM(E6:E19)</f>
        <v>889564</v>
      </c>
      <c r="F20" s="270">
        <f>SUM(F6:F19)</f>
        <v>881085</v>
      </c>
      <c r="G20" s="271">
        <f>F20*100/E20</f>
        <v>99.04683642773314</v>
      </c>
      <c r="H20" s="270">
        <f>SUM(H6:H19)</f>
        <v>773989</v>
      </c>
      <c r="I20" s="270">
        <f>SUM(I6:I19)</f>
        <v>765366</v>
      </c>
      <c r="J20" s="271">
        <f>I20*100/H20</f>
        <v>98.885901479219996</v>
      </c>
      <c r="K20" s="272">
        <f>SUM(K6:K19)</f>
        <v>2528947</v>
      </c>
      <c r="L20" s="258"/>
      <c r="M20" s="258"/>
    </row>
    <row r="21" spans="1:29" x14ac:dyDescent="0.3">
      <c r="A21" s="259"/>
      <c r="B21" s="259"/>
      <c r="C21" s="259"/>
      <c r="E21" s="259"/>
      <c r="F21" s="259"/>
      <c r="N21" s="259"/>
      <c r="O21" s="259"/>
    </row>
    <row r="22" spans="1:29" ht="25.95" customHeight="1" x14ac:dyDescent="0.3">
      <c r="A22" s="448" t="s">
        <v>761</v>
      </c>
      <c r="B22" s="454" t="s">
        <v>843</v>
      </c>
      <c r="C22" s="454"/>
      <c r="D22" s="454"/>
      <c r="E22" s="455" t="s">
        <v>844</v>
      </c>
      <c r="F22" s="456"/>
      <c r="G22" s="457"/>
      <c r="H22" s="454" t="s">
        <v>845</v>
      </c>
      <c r="I22" s="454"/>
      <c r="J22" s="454"/>
      <c r="K22" s="455" t="s">
        <v>846</v>
      </c>
      <c r="L22" s="456"/>
      <c r="M22" s="457"/>
      <c r="N22" s="455" t="s">
        <v>847</v>
      </c>
      <c r="O22" s="456"/>
      <c r="P22" s="457"/>
      <c r="Q22" s="458" t="s">
        <v>848</v>
      </c>
      <c r="S22" s="258"/>
    </row>
    <row r="23" spans="1:29" x14ac:dyDescent="0.3">
      <c r="A23" s="449"/>
      <c r="B23" s="460" t="s">
        <v>849</v>
      </c>
      <c r="C23" s="461"/>
      <c r="D23" s="462"/>
      <c r="E23" s="460" t="s">
        <v>850</v>
      </c>
      <c r="F23" s="461"/>
      <c r="G23" s="462"/>
      <c r="H23" s="460" t="s">
        <v>851</v>
      </c>
      <c r="I23" s="461"/>
      <c r="J23" s="462"/>
      <c r="K23" s="460" t="s">
        <v>836</v>
      </c>
      <c r="L23" s="461"/>
      <c r="M23" s="462"/>
      <c r="N23" s="460" t="s">
        <v>852</v>
      </c>
      <c r="O23" s="461"/>
      <c r="P23" s="462"/>
      <c r="Q23" s="458"/>
      <c r="S23" s="258"/>
    </row>
    <row r="24" spans="1:29" x14ac:dyDescent="0.3">
      <c r="A24" s="450"/>
      <c r="B24" s="260" t="s">
        <v>837</v>
      </c>
      <c r="C24" s="260" t="s">
        <v>838</v>
      </c>
      <c r="D24" s="261" t="s">
        <v>763</v>
      </c>
      <c r="E24" s="260" t="s">
        <v>837</v>
      </c>
      <c r="F24" s="260" t="s">
        <v>838</v>
      </c>
      <c r="G24" s="261" t="s">
        <v>763</v>
      </c>
      <c r="H24" s="260" t="s">
        <v>837</v>
      </c>
      <c r="I24" s="260" t="s">
        <v>838</v>
      </c>
      <c r="J24" s="261" t="s">
        <v>763</v>
      </c>
      <c r="K24" s="260" t="s">
        <v>837</v>
      </c>
      <c r="L24" s="260" t="s">
        <v>838</v>
      </c>
      <c r="M24" s="261" t="s">
        <v>763</v>
      </c>
      <c r="N24" s="260" t="s">
        <v>837</v>
      </c>
      <c r="O24" s="260" t="s">
        <v>838</v>
      </c>
      <c r="P24" s="261" t="s">
        <v>763</v>
      </c>
      <c r="Q24" s="458"/>
      <c r="S24" s="258"/>
    </row>
    <row r="25" spans="1:29" x14ac:dyDescent="0.3">
      <c r="A25" s="263" t="s">
        <v>395</v>
      </c>
      <c r="B25" s="264">
        <v>51622</v>
      </c>
      <c r="C25" s="264">
        <v>51237</v>
      </c>
      <c r="D25" s="265">
        <f>C25*100/B25</f>
        <v>99.254193948316612</v>
      </c>
      <c r="E25" s="266">
        <v>48961</v>
      </c>
      <c r="F25" s="266">
        <v>48961</v>
      </c>
      <c r="G25" s="273">
        <f>F25*100/E25</f>
        <v>100</v>
      </c>
      <c r="H25" s="264">
        <v>50373</v>
      </c>
      <c r="I25" s="264">
        <v>49276</v>
      </c>
      <c r="J25" s="265">
        <f>I25*100/H25</f>
        <v>97.822246044507978</v>
      </c>
      <c r="K25" s="266">
        <v>45337</v>
      </c>
      <c r="L25" s="266">
        <v>45290</v>
      </c>
      <c r="M25" s="273">
        <f>L25*100/K25</f>
        <v>99.89633191433046</v>
      </c>
      <c r="N25" s="264">
        <v>36528</v>
      </c>
      <c r="O25" s="264">
        <v>36470</v>
      </c>
      <c r="P25" s="265">
        <f>O25*100/N25</f>
        <v>99.841217696014013</v>
      </c>
      <c r="Q25" s="274">
        <f t="shared" ref="Q25:Q38" si="5">C25+F25+I25+L25+O25</f>
        <v>231234</v>
      </c>
      <c r="S25" s="258"/>
    </row>
    <row r="26" spans="1:29" x14ac:dyDescent="0.3">
      <c r="A26" s="263" t="s">
        <v>386</v>
      </c>
      <c r="B26" s="264">
        <v>82676</v>
      </c>
      <c r="C26" s="264">
        <v>77367</v>
      </c>
      <c r="D26" s="265">
        <f t="shared" ref="D26:D29" si="6">C26*100/B26</f>
        <v>93.578547583337368</v>
      </c>
      <c r="E26" s="266">
        <v>82676</v>
      </c>
      <c r="F26" s="266">
        <v>76835</v>
      </c>
      <c r="G26" s="273">
        <f t="shared" ref="G26:G29" si="7">F26*100/E26</f>
        <v>92.935071846726984</v>
      </c>
      <c r="H26" s="264">
        <v>81682</v>
      </c>
      <c r="I26" s="264">
        <v>79869</v>
      </c>
      <c r="J26" s="265">
        <f t="shared" ref="J26:J29" si="8">I26*100/H26</f>
        <v>97.780416738081826</v>
      </c>
      <c r="K26" s="266">
        <v>77921</v>
      </c>
      <c r="L26" s="266">
        <v>74763</v>
      </c>
      <c r="M26" s="273">
        <f t="shared" ref="M26:M29" si="9">L26*100/K26</f>
        <v>95.947177269285561</v>
      </c>
      <c r="N26" s="264">
        <v>59319</v>
      </c>
      <c r="O26" s="264">
        <v>57954</v>
      </c>
      <c r="P26" s="265">
        <f t="shared" ref="P26:P38" si="10">O26*100/N26</f>
        <v>97.698882314266925</v>
      </c>
      <c r="Q26" s="274">
        <f t="shared" si="5"/>
        <v>366788</v>
      </c>
      <c r="S26" s="258"/>
    </row>
    <row r="27" spans="1:29" x14ac:dyDescent="0.3">
      <c r="A27" s="263" t="s">
        <v>839</v>
      </c>
      <c r="B27" s="264">
        <v>41282</v>
      </c>
      <c r="C27" s="264">
        <v>40674</v>
      </c>
      <c r="D27" s="265">
        <f t="shared" si="6"/>
        <v>98.527203139382777</v>
      </c>
      <c r="E27" s="266">
        <v>40646</v>
      </c>
      <c r="F27" s="266">
        <v>39816</v>
      </c>
      <c r="G27" s="273">
        <f t="shared" si="7"/>
        <v>97.957978644885102</v>
      </c>
      <c r="H27" s="264">
        <v>39713</v>
      </c>
      <c r="I27" s="264">
        <v>39678</v>
      </c>
      <c r="J27" s="265">
        <f t="shared" si="8"/>
        <v>99.911867650391557</v>
      </c>
      <c r="K27" s="266">
        <v>36544</v>
      </c>
      <c r="L27" s="266">
        <v>36540</v>
      </c>
      <c r="M27" s="273">
        <f t="shared" si="9"/>
        <v>99.989054290718045</v>
      </c>
      <c r="N27" s="264">
        <v>25026</v>
      </c>
      <c r="O27" s="264">
        <v>25022</v>
      </c>
      <c r="P27" s="265">
        <f t="shared" si="10"/>
        <v>99.984016622712375</v>
      </c>
      <c r="Q27" s="274">
        <f t="shared" si="5"/>
        <v>181730</v>
      </c>
      <c r="S27" s="258"/>
    </row>
    <row r="28" spans="1:29" x14ac:dyDescent="0.3">
      <c r="A28" s="263" t="s">
        <v>388</v>
      </c>
      <c r="B28" s="264">
        <v>36527</v>
      </c>
      <c r="C28" s="264">
        <v>36030</v>
      </c>
      <c r="D28" s="265">
        <f t="shared" si="6"/>
        <v>98.639362663235417</v>
      </c>
      <c r="E28" s="266">
        <v>36226</v>
      </c>
      <c r="F28" s="266">
        <v>35945</v>
      </c>
      <c r="G28" s="273">
        <f t="shared" si="7"/>
        <v>99.224314028598243</v>
      </c>
      <c r="H28" s="264">
        <v>36411</v>
      </c>
      <c r="I28" s="264">
        <v>36018</v>
      </c>
      <c r="J28" s="265">
        <f t="shared" si="8"/>
        <v>98.920655845760891</v>
      </c>
      <c r="K28" s="266">
        <v>33644</v>
      </c>
      <c r="L28" s="266">
        <v>33217</v>
      </c>
      <c r="M28" s="273">
        <f t="shared" si="9"/>
        <v>98.730828676732855</v>
      </c>
      <c r="N28" s="264">
        <v>26991</v>
      </c>
      <c r="O28" s="264">
        <v>26284</v>
      </c>
      <c r="P28" s="265">
        <f t="shared" si="10"/>
        <v>97.380608350931794</v>
      </c>
      <c r="Q28" s="274">
        <f t="shared" si="5"/>
        <v>167494</v>
      </c>
      <c r="S28" s="258"/>
    </row>
    <row r="29" spans="1:29" x14ac:dyDescent="0.3">
      <c r="A29" s="263" t="s">
        <v>389</v>
      </c>
      <c r="B29" s="264">
        <v>83849</v>
      </c>
      <c r="C29" s="264">
        <v>83849</v>
      </c>
      <c r="D29" s="265">
        <f t="shared" si="6"/>
        <v>100</v>
      </c>
      <c r="E29" s="266">
        <v>83285</v>
      </c>
      <c r="F29" s="266">
        <v>83285</v>
      </c>
      <c r="G29" s="273">
        <f t="shared" si="7"/>
        <v>100</v>
      </c>
      <c r="H29" s="264">
        <v>83108</v>
      </c>
      <c r="I29" s="264">
        <v>83108</v>
      </c>
      <c r="J29" s="265">
        <f t="shared" si="8"/>
        <v>100</v>
      </c>
      <c r="K29" s="266">
        <v>78785</v>
      </c>
      <c r="L29" s="266">
        <v>78785</v>
      </c>
      <c r="M29" s="273">
        <f t="shared" si="9"/>
        <v>100</v>
      </c>
      <c r="N29" s="264">
        <v>61360</v>
      </c>
      <c r="O29" s="264">
        <v>61360</v>
      </c>
      <c r="P29" s="265">
        <f t="shared" si="10"/>
        <v>100</v>
      </c>
      <c r="Q29" s="274">
        <f t="shared" si="5"/>
        <v>390387</v>
      </c>
      <c r="S29" s="258"/>
    </row>
    <row r="30" spans="1:29" x14ac:dyDescent="0.3">
      <c r="A30" s="263" t="s">
        <v>840</v>
      </c>
      <c r="B30" s="264">
        <v>24517</v>
      </c>
      <c r="C30" s="264">
        <v>24204</v>
      </c>
      <c r="D30" s="265">
        <f>C30/B30*100</f>
        <v>98.723334828894238</v>
      </c>
      <c r="E30" s="264">
        <v>23273</v>
      </c>
      <c r="F30" s="264">
        <v>23081</v>
      </c>
      <c r="G30" s="265">
        <f>F30/E30*100</f>
        <v>99.175009667855448</v>
      </c>
      <c r="H30" s="264">
        <v>22653</v>
      </c>
      <c r="I30" s="264">
        <v>22632</v>
      </c>
      <c r="J30" s="265">
        <f>I30/H30*100</f>
        <v>99.907297046748781</v>
      </c>
      <c r="K30" s="264">
        <v>20281</v>
      </c>
      <c r="L30" s="264">
        <v>20266</v>
      </c>
      <c r="M30" s="265">
        <f>L30/K30*100</f>
        <v>99.926039149943307</v>
      </c>
      <c r="N30" s="264">
        <v>16451</v>
      </c>
      <c r="O30" s="264">
        <v>16449</v>
      </c>
      <c r="P30" s="265">
        <f>O30/N30*100</f>
        <v>99.987842684335305</v>
      </c>
      <c r="Q30" s="274">
        <f t="shared" si="5"/>
        <v>106632</v>
      </c>
      <c r="S30" s="258"/>
    </row>
    <row r="31" spans="1:29" x14ac:dyDescent="0.3">
      <c r="A31" s="263" t="s">
        <v>391</v>
      </c>
      <c r="B31" s="264">
        <v>74897</v>
      </c>
      <c r="C31" s="264">
        <v>74242</v>
      </c>
      <c r="D31" s="265">
        <f t="shared" ref="D31:D39" si="11">C31*100/B31</f>
        <v>99.125465639478222</v>
      </c>
      <c r="E31" s="266">
        <v>71547</v>
      </c>
      <c r="F31" s="266">
        <v>71086</v>
      </c>
      <c r="G31" s="273">
        <f t="shared" ref="G31:G38" si="12">F31*100/E31</f>
        <v>99.355668301955362</v>
      </c>
      <c r="H31" s="264">
        <v>69492</v>
      </c>
      <c r="I31" s="264">
        <v>69254</v>
      </c>
      <c r="J31" s="265">
        <f t="shared" ref="J31:J39" si="13">I31*100/H31</f>
        <v>99.657514534047081</v>
      </c>
      <c r="K31" s="266">
        <v>67166</v>
      </c>
      <c r="L31" s="266">
        <v>67166</v>
      </c>
      <c r="M31" s="273">
        <f t="shared" ref="M31:M38" si="14">L31*100/K31</f>
        <v>100</v>
      </c>
      <c r="N31" s="264">
        <v>30156</v>
      </c>
      <c r="O31" s="264">
        <v>30156</v>
      </c>
      <c r="P31" s="265">
        <f t="shared" si="10"/>
        <v>100</v>
      </c>
      <c r="Q31" s="274">
        <f t="shared" si="5"/>
        <v>311904</v>
      </c>
      <c r="S31" s="258"/>
    </row>
    <row r="32" spans="1:29" x14ac:dyDescent="0.3">
      <c r="A32" s="263" t="s">
        <v>392</v>
      </c>
      <c r="B32" s="264">
        <v>95010</v>
      </c>
      <c r="C32" s="264">
        <v>94595</v>
      </c>
      <c r="D32" s="265">
        <f t="shared" si="11"/>
        <v>99.563203873276493</v>
      </c>
      <c r="E32" s="266">
        <v>94767</v>
      </c>
      <c r="F32" s="266">
        <v>94415</v>
      </c>
      <c r="G32" s="273">
        <f t="shared" si="12"/>
        <v>99.628562685322947</v>
      </c>
      <c r="H32" s="264">
        <v>94495</v>
      </c>
      <c r="I32" s="264">
        <v>94179</v>
      </c>
      <c r="J32" s="265">
        <f t="shared" si="13"/>
        <v>99.665590771998524</v>
      </c>
      <c r="K32" s="266">
        <v>95113</v>
      </c>
      <c r="L32" s="266">
        <v>94439</v>
      </c>
      <c r="M32" s="273">
        <f t="shared" si="14"/>
        <v>99.291369213461877</v>
      </c>
      <c r="N32" s="264">
        <v>77888</v>
      </c>
      <c r="O32" s="264">
        <v>77712</v>
      </c>
      <c r="P32" s="265">
        <f t="shared" si="10"/>
        <v>99.77403451109285</v>
      </c>
      <c r="Q32" s="274">
        <f t="shared" si="5"/>
        <v>455340</v>
      </c>
      <c r="S32" s="258"/>
    </row>
    <row r="33" spans="1:19" x14ac:dyDescent="0.3">
      <c r="A33" s="263" t="s">
        <v>393</v>
      </c>
      <c r="B33" s="264">
        <v>71807</v>
      </c>
      <c r="C33" s="264">
        <v>71807</v>
      </c>
      <c r="D33" s="265">
        <f t="shared" si="11"/>
        <v>100</v>
      </c>
      <c r="E33" s="266">
        <v>70008</v>
      </c>
      <c r="F33" s="266">
        <v>70008</v>
      </c>
      <c r="G33" s="273">
        <f t="shared" si="12"/>
        <v>100</v>
      </c>
      <c r="H33" s="264">
        <v>66548</v>
      </c>
      <c r="I33" s="264">
        <v>66548</v>
      </c>
      <c r="J33" s="265">
        <f t="shared" si="13"/>
        <v>100</v>
      </c>
      <c r="K33" s="266">
        <v>66418</v>
      </c>
      <c r="L33" s="266">
        <v>66418</v>
      </c>
      <c r="M33" s="273">
        <f t="shared" si="14"/>
        <v>100</v>
      </c>
      <c r="N33" s="264">
        <v>56114</v>
      </c>
      <c r="O33" s="264">
        <v>56114</v>
      </c>
      <c r="P33" s="265">
        <f t="shared" si="10"/>
        <v>100</v>
      </c>
      <c r="Q33" s="274">
        <f t="shared" si="5"/>
        <v>330895</v>
      </c>
      <c r="S33" s="258"/>
    </row>
    <row r="34" spans="1:19" x14ac:dyDescent="0.3">
      <c r="A34" s="263" t="s">
        <v>394</v>
      </c>
      <c r="B34" s="264">
        <v>22253</v>
      </c>
      <c r="C34" s="264">
        <v>22236</v>
      </c>
      <c r="D34" s="265">
        <f t="shared" si="11"/>
        <v>99.923605805958744</v>
      </c>
      <c r="E34" s="266">
        <v>20723</v>
      </c>
      <c r="F34" s="266">
        <v>20694</v>
      </c>
      <c r="G34" s="273">
        <f t="shared" si="12"/>
        <v>99.860058871784972</v>
      </c>
      <c r="H34" s="264">
        <v>19297</v>
      </c>
      <c r="I34" s="264">
        <v>19279</v>
      </c>
      <c r="J34" s="265">
        <f t="shared" si="13"/>
        <v>99.906721252008083</v>
      </c>
      <c r="K34" s="266">
        <v>29615</v>
      </c>
      <c r="L34" s="266">
        <v>29586</v>
      </c>
      <c r="M34" s="273">
        <f t="shared" si="14"/>
        <v>99.902076650346103</v>
      </c>
      <c r="N34" s="264">
        <v>11360</v>
      </c>
      <c r="O34" s="264">
        <v>11353</v>
      </c>
      <c r="P34" s="265">
        <f t="shared" si="10"/>
        <v>99.938380281690144</v>
      </c>
      <c r="Q34" s="274">
        <f t="shared" si="5"/>
        <v>103148</v>
      </c>
      <c r="S34" s="258"/>
    </row>
    <row r="35" spans="1:19" x14ac:dyDescent="0.3">
      <c r="A35" s="263" t="s">
        <v>396</v>
      </c>
      <c r="B35" s="264">
        <v>65107</v>
      </c>
      <c r="C35" s="264">
        <v>64235</v>
      </c>
      <c r="D35" s="265">
        <f t="shared" si="11"/>
        <v>98.660666287803153</v>
      </c>
      <c r="E35" s="266">
        <v>65597</v>
      </c>
      <c r="F35" s="266">
        <v>65204</v>
      </c>
      <c r="G35" s="273">
        <f t="shared" si="12"/>
        <v>99.400887235696757</v>
      </c>
      <c r="H35" s="264">
        <v>69580</v>
      </c>
      <c r="I35" s="264">
        <v>69168</v>
      </c>
      <c r="J35" s="265">
        <f t="shared" si="13"/>
        <v>99.407875826386899</v>
      </c>
      <c r="K35" s="266">
        <v>65786</v>
      </c>
      <c r="L35" s="266">
        <v>65662</v>
      </c>
      <c r="M35" s="273">
        <f t="shared" si="14"/>
        <v>99.811510047730522</v>
      </c>
      <c r="N35" s="264">
        <v>44157</v>
      </c>
      <c r="O35" s="264">
        <v>44084</v>
      </c>
      <c r="P35" s="265">
        <f t="shared" si="10"/>
        <v>99.834680798061456</v>
      </c>
      <c r="Q35" s="274">
        <f t="shared" si="5"/>
        <v>308353</v>
      </c>
      <c r="S35" s="258"/>
    </row>
    <row r="36" spans="1:19" x14ac:dyDescent="0.3">
      <c r="A36" s="263" t="s">
        <v>398</v>
      </c>
      <c r="B36" s="264">
        <v>90159</v>
      </c>
      <c r="C36" s="264">
        <v>90159</v>
      </c>
      <c r="D36" s="265">
        <f t="shared" si="11"/>
        <v>100</v>
      </c>
      <c r="E36" s="266">
        <v>86841</v>
      </c>
      <c r="F36" s="266">
        <v>86841</v>
      </c>
      <c r="G36" s="273">
        <f t="shared" si="12"/>
        <v>100</v>
      </c>
      <c r="H36" s="264">
        <v>84130</v>
      </c>
      <c r="I36" s="264">
        <v>84130</v>
      </c>
      <c r="J36" s="265">
        <f t="shared" si="13"/>
        <v>100</v>
      </c>
      <c r="K36" s="266">
        <v>77381</v>
      </c>
      <c r="L36" s="266">
        <v>77381</v>
      </c>
      <c r="M36" s="273">
        <f t="shared" si="14"/>
        <v>100</v>
      </c>
      <c r="N36" s="264">
        <v>62477</v>
      </c>
      <c r="O36" s="264">
        <v>62477</v>
      </c>
      <c r="P36" s="265">
        <f t="shared" si="10"/>
        <v>100</v>
      </c>
      <c r="Q36" s="274">
        <f t="shared" si="5"/>
        <v>400988</v>
      </c>
      <c r="S36" s="258"/>
    </row>
    <row r="37" spans="1:19" x14ac:dyDescent="0.3">
      <c r="A37" s="263" t="s">
        <v>841</v>
      </c>
      <c r="B37" s="264">
        <v>41269</v>
      </c>
      <c r="C37" s="264">
        <v>41189</v>
      </c>
      <c r="D37" s="265">
        <f t="shared" si="11"/>
        <v>99.806149894594</v>
      </c>
      <c r="E37" s="266">
        <v>40678</v>
      </c>
      <c r="F37" s="266">
        <v>40634</v>
      </c>
      <c r="G37" s="273">
        <f t="shared" si="12"/>
        <v>99.89183342347215</v>
      </c>
      <c r="H37" s="264">
        <v>40259</v>
      </c>
      <c r="I37" s="264">
        <v>40215</v>
      </c>
      <c r="J37" s="265">
        <f t="shared" si="13"/>
        <v>99.890707667850663</v>
      </c>
      <c r="K37" s="266">
        <v>41258</v>
      </c>
      <c r="L37" s="266">
        <v>41241</v>
      </c>
      <c r="M37" s="273">
        <f t="shared" si="14"/>
        <v>99.958795869891901</v>
      </c>
      <c r="N37" s="264">
        <v>34270</v>
      </c>
      <c r="O37" s="264">
        <v>34270</v>
      </c>
      <c r="P37" s="265">
        <f t="shared" si="10"/>
        <v>100</v>
      </c>
      <c r="Q37" s="274">
        <f t="shared" si="5"/>
        <v>197549</v>
      </c>
      <c r="S37" s="258"/>
    </row>
    <row r="38" spans="1:19" x14ac:dyDescent="0.3">
      <c r="A38" s="263" t="s">
        <v>842</v>
      </c>
      <c r="B38" s="264">
        <v>38555</v>
      </c>
      <c r="C38" s="264">
        <v>38155</v>
      </c>
      <c r="D38" s="265">
        <f t="shared" si="11"/>
        <v>98.962521073790683</v>
      </c>
      <c r="E38" s="266">
        <v>38204</v>
      </c>
      <c r="F38" s="266">
        <v>37921</v>
      </c>
      <c r="G38" s="273">
        <f t="shared" si="12"/>
        <v>99.25923987017066</v>
      </c>
      <c r="H38" s="264">
        <v>37960</v>
      </c>
      <c r="I38" s="264">
        <v>37526</v>
      </c>
      <c r="J38" s="265">
        <f t="shared" si="13"/>
        <v>98.856691253951524</v>
      </c>
      <c r="K38" s="266">
        <v>37843</v>
      </c>
      <c r="L38" s="266">
        <v>37616</v>
      </c>
      <c r="M38" s="273">
        <f t="shared" si="14"/>
        <v>99.400153264804587</v>
      </c>
      <c r="N38" s="264">
        <v>33629</v>
      </c>
      <c r="O38" s="264">
        <v>33626</v>
      </c>
      <c r="P38" s="265">
        <f t="shared" si="10"/>
        <v>99.99107912813345</v>
      </c>
      <c r="Q38" s="274">
        <f t="shared" si="5"/>
        <v>184844</v>
      </c>
      <c r="S38" s="258"/>
    </row>
    <row r="39" spans="1:19" x14ac:dyDescent="0.3">
      <c r="A39" s="269" t="s">
        <v>828</v>
      </c>
      <c r="B39" s="270">
        <f>SUM(B25:B38)</f>
        <v>819530</v>
      </c>
      <c r="C39" s="270">
        <f>SUM(C25:C38)</f>
        <v>809979</v>
      </c>
      <c r="D39" s="271">
        <f t="shared" si="11"/>
        <v>98.834575915463745</v>
      </c>
      <c r="E39" s="270">
        <f>SUM(E25:E38)</f>
        <v>803432</v>
      </c>
      <c r="F39" s="270">
        <f>SUM(F25:F38)</f>
        <v>794726</v>
      </c>
      <c r="G39" s="275">
        <f>F39*100/E39</f>
        <v>98.916398649792384</v>
      </c>
      <c r="H39" s="270">
        <f>SUM(H25:H38)</f>
        <v>795701</v>
      </c>
      <c r="I39" s="270">
        <f>SUM(I25:I38)</f>
        <v>790880</v>
      </c>
      <c r="J39" s="271">
        <f t="shared" si="13"/>
        <v>99.394119147770326</v>
      </c>
      <c r="K39" s="270">
        <f>SUM(K25:K38)</f>
        <v>773092</v>
      </c>
      <c r="L39" s="270">
        <f>SUM(L25:L38)</f>
        <v>768370</v>
      </c>
      <c r="M39" s="275">
        <f>L39*100/K39</f>
        <v>99.389205941854271</v>
      </c>
      <c r="N39" s="270">
        <f>SUM(N25:N38)</f>
        <v>575726</v>
      </c>
      <c r="O39" s="270">
        <f>SUM(O25:O38)</f>
        <v>573331</v>
      </c>
      <c r="P39" s="271">
        <f>O39*100/N39</f>
        <v>99.58400350166572</v>
      </c>
      <c r="Q39" s="270">
        <f>SUM(Q25:Q38)</f>
        <v>3737286</v>
      </c>
      <c r="S39" s="258"/>
    </row>
    <row r="41" spans="1:19" ht="13.05" customHeight="1" x14ac:dyDescent="0.3">
      <c r="A41" s="448" t="s">
        <v>761</v>
      </c>
      <c r="B41" s="464" t="s">
        <v>853</v>
      </c>
      <c r="C41" s="465"/>
      <c r="D41" s="466"/>
      <c r="E41" s="464" t="s">
        <v>854</v>
      </c>
      <c r="F41" s="465"/>
      <c r="G41" s="466"/>
      <c r="H41" s="464" t="s">
        <v>855</v>
      </c>
      <c r="I41" s="465"/>
      <c r="J41" s="466"/>
      <c r="K41" s="458" t="s">
        <v>833</v>
      </c>
      <c r="M41" s="258"/>
    </row>
    <row r="42" spans="1:19" x14ac:dyDescent="0.3">
      <c r="A42" s="449"/>
      <c r="B42" s="467" t="s">
        <v>849</v>
      </c>
      <c r="C42" s="468"/>
      <c r="D42" s="469"/>
      <c r="E42" s="467" t="s">
        <v>850</v>
      </c>
      <c r="F42" s="468"/>
      <c r="G42" s="469"/>
      <c r="H42" s="467" t="s">
        <v>851</v>
      </c>
      <c r="I42" s="468"/>
      <c r="J42" s="469"/>
      <c r="K42" s="458"/>
      <c r="M42" s="258"/>
    </row>
    <row r="43" spans="1:19" x14ac:dyDescent="0.3">
      <c r="A43" s="450"/>
      <c r="B43" s="260" t="s">
        <v>837</v>
      </c>
      <c r="C43" s="260" t="s">
        <v>838</v>
      </c>
      <c r="D43" s="261" t="s">
        <v>763</v>
      </c>
      <c r="E43" s="260" t="s">
        <v>837</v>
      </c>
      <c r="F43" s="260" t="s">
        <v>838</v>
      </c>
      <c r="G43" s="261" t="s">
        <v>763</v>
      </c>
      <c r="H43" s="260" t="s">
        <v>837</v>
      </c>
      <c r="I43" s="260" t="s">
        <v>838</v>
      </c>
      <c r="J43" s="261" t="s">
        <v>763</v>
      </c>
      <c r="K43" s="458"/>
      <c r="M43" s="258"/>
    </row>
    <row r="44" spans="1:19" x14ac:dyDescent="0.3">
      <c r="A44" s="263" t="s">
        <v>395</v>
      </c>
      <c r="B44" s="264">
        <v>43034</v>
      </c>
      <c r="C44" s="264">
        <v>41861</v>
      </c>
      <c r="D44" s="265">
        <f>C44*100/B44</f>
        <v>97.274248268810709</v>
      </c>
      <c r="E44" s="264">
        <v>41650</v>
      </c>
      <c r="F44" s="264">
        <v>40602</v>
      </c>
      <c r="G44" s="265">
        <f>F44*100/E44</f>
        <v>97.483793517406966</v>
      </c>
      <c r="H44" s="264">
        <v>48316</v>
      </c>
      <c r="I44" s="264">
        <v>44679</v>
      </c>
      <c r="J44" s="265">
        <f>I44*100/H44</f>
        <v>92.472472886828385</v>
      </c>
      <c r="K44" s="274">
        <f t="shared" ref="K44:K57" si="15">C44+F44+I44</f>
        <v>127142</v>
      </c>
      <c r="M44" s="258"/>
    </row>
    <row r="45" spans="1:19" x14ac:dyDescent="0.3">
      <c r="A45" s="263" t="s">
        <v>386</v>
      </c>
      <c r="B45" s="264">
        <v>82676</v>
      </c>
      <c r="C45" s="264">
        <v>76485</v>
      </c>
      <c r="D45" s="265">
        <f t="shared" ref="D45:D57" si="16">C45*100/B45</f>
        <v>92.511732546325419</v>
      </c>
      <c r="E45" s="264">
        <v>82676</v>
      </c>
      <c r="F45" s="264">
        <v>76009</v>
      </c>
      <c r="G45" s="265">
        <f t="shared" ref="G45:G48" si="17">F45*100/E45</f>
        <v>91.935991097779279</v>
      </c>
      <c r="H45" s="264">
        <v>82676</v>
      </c>
      <c r="I45" s="264">
        <v>77475</v>
      </c>
      <c r="J45" s="265">
        <f t="shared" ref="J45:J48" si="18">I45*100/H45</f>
        <v>93.709177996032707</v>
      </c>
      <c r="K45" s="274">
        <f t="shared" si="15"/>
        <v>229969</v>
      </c>
      <c r="M45" s="258"/>
    </row>
    <row r="46" spans="1:19" x14ac:dyDescent="0.3">
      <c r="A46" s="263" t="s">
        <v>839</v>
      </c>
      <c r="B46" s="264">
        <v>40915</v>
      </c>
      <c r="C46" s="264">
        <v>38904</v>
      </c>
      <c r="D46" s="265">
        <f t="shared" si="16"/>
        <v>95.084932176463397</v>
      </c>
      <c r="E46" s="264">
        <v>38991</v>
      </c>
      <c r="F46" s="264">
        <v>37637</v>
      </c>
      <c r="G46" s="265">
        <f t="shared" si="17"/>
        <v>96.527403759842016</v>
      </c>
      <c r="H46" s="264">
        <v>38524</v>
      </c>
      <c r="I46" s="264">
        <v>37344</v>
      </c>
      <c r="J46" s="265">
        <f t="shared" si="18"/>
        <v>96.936974353649674</v>
      </c>
      <c r="K46" s="274">
        <f t="shared" si="15"/>
        <v>113885</v>
      </c>
      <c r="M46" s="258"/>
    </row>
    <row r="47" spans="1:19" x14ac:dyDescent="0.3">
      <c r="A47" s="263" t="s">
        <v>388</v>
      </c>
      <c r="B47" s="264">
        <v>36527</v>
      </c>
      <c r="C47" s="264">
        <v>35111</v>
      </c>
      <c r="D47" s="265">
        <f t="shared" si="16"/>
        <v>96.12341555561639</v>
      </c>
      <c r="E47" s="264">
        <v>36226</v>
      </c>
      <c r="F47" s="264">
        <v>34548</v>
      </c>
      <c r="G47" s="265">
        <f t="shared" si="17"/>
        <v>95.367967757963896</v>
      </c>
      <c r="H47" s="264">
        <v>36411</v>
      </c>
      <c r="I47" s="264">
        <v>31946</v>
      </c>
      <c r="J47" s="265">
        <f t="shared" si="18"/>
        <v>87.737222267995932</v>
      </c>
      <c r="K47" s="274">
        <f t="shared" si="15"/>
        <v>101605</v>
      </c>
      <c r="M47" s="258"/>
    </row>
    <row r="48" spans="1:19" x14ac:dyDescent="0.3">
      <c r="A48" s="263" t="s">
        <v>389</v>
      </c>
      <c r="B48" s="264">
        <v>79721</v>
      </c>
      <c r="C48" s="264">
        <v>79686</v>
      </c>
      <c r="D48" s="265">
        <f t="shared" si="16"/>
        <v>99.956096887896535</v>
      </c>
      <c r="E48" s="264">
        <v>78275</v>
      </c>
      <c r="F48" s="264">
        <v>78252</v>
      </c>
      <c r="G48" s="265">
        <f t="shared" si="17"/>
        <v>99.970616416480354</v>
      </c>
      <c r="H48" s="264">
        <v>78538</v>
      </c>
      <c r="I48" s="264">
        <v>78519</v>
      </c>
      <c r="J48" s="265">
        <f t="shared" si="18"/>
        <v>99.975807889174661</v>
      </c>
      <c r="K48" s="274">
        <f t="shared" si="15"/>
        <v>236457</v>
      </c>
      <c r="M48" s="258"/>
    </row>
    <row r="49" spans="1:13" x14ac:dyDescent="0.3">
      <c r="A49" s="263" t="s">
        <v>840</v>
      </c>
      <c r="B49" s="264">
        <v>24525</v>
      </c>
      <c r="C49" s="264">
        <v>23790</v>
      </c>
      <c r="D49" s="265">
        <v>99.822009984805732</v>
      </c>
      <c r="E49" s="264">
        <v>23469</v>
      </c>
      <c r="F49" s="264">
        <v>23133</v>
      </c>
      <c r="G49" s="265">
        <v>99.822009984805732</v>
      </c>
      <c r="H49" s="264">
        <v>23235</v>
      </c>
      <c r="I49" s="264">
        <v>22994</v>
      </c>
      <c r="J49" s="265">
        <v>99.822009984805732</v>
      </c>
      <c r="K49" s="274">
        <f t="shared" si="15"/>
        <v>69917</v>
      </c>
      <c r="M49" s="258"/>
    </row>
    <row r="50" spans="1:13" x14ac:dyDescent="0.3">
      <c r="A50" s="263" t="s">
        <v>391</v>
      </c>
      <c r="B50" s="264">
        <v>72218</v>
      </c>
      <c r="C50" s="264">
        <v>70694</v>
      </c>
      <c r="D50" s="265">
        <f t="shared" si="16"/>
        <v>97.889722783793516</v>
      </c>
      <c r="E50" s="264">
        <v>69109</v>
      </c>
      <c r="F50" s="264">
        <v>67896</v>
      </c>
      <c r="G50" s="265">
        <f t="shared" ref="G50:G57" si="19">F50*100/E50</f>
        <v>98.244801690083776</v>
      </c>
      <c r="H50" s="264">
        <v>69215</v>
      </c>
      <c r="I50" s="264">
        <v>68027</v>
      </c>
      <c r="J50" s="265">
        <f t="shared" ref="J50:J57" si="20">I50*100/H50</f>
        <v>98.283609044282315</v>
      </c>
      <c r="K50" s="274">
        <f t="shared" si="15"/>
        <v>206617</v>
      </c>
      <c r="M50" s="258"/>
    </row>
    <row r="51" spans="1:13" x14ac:dyDescent="0.3">
      <c r="A51" s="263" t="s">
        <v>392</v>
      </c>
      <c r="B51" s="264">
        <v>95527</v>
      </c>
      <c r="C51" s="264">
        <v>95084</v>
      </c>
      <c r="D51" s="265">
        <f t="shared" si="16"/>
        <v>99.536256765103062</v>
      </c>
      <c r="E51" s="264">
        <v>94970</v>
      </c>
      <c r="F51" s="264">
        <v>94486</v>
      </c>
      <c r="G51" s="265">
        <f t="shared" si="19"/>
        <v>99.490365378540588</v>
      </c>
      <c r="H51" s="264">
        <v>95341</v>
      </c>
      <c r="I51" s="264">
        <v>94941</v>
      </c>
      <c r="J51" s="265">
        <f t="shared" si="20"/>
        <v>99.580453320187544</v>
      </c>
      <c r="K51" s="274">
        <f t="shared" si="15"/>
        <v>284511</v>
      </c>
      <c r="M51" s="258"/>
    </row>
    <row r="52" spans="1:13" x14ac:dyDescent="0.3">
      <c r="A52" s="263" t="s">
        <v>393</v>
      </c>
      <c r="B52" s="264">
        <v>67833</v>
      </c>
      <c r="C52" s="264">
        <v>67229</v>
      </c>
      <c r="D52" s="265">
        <f t="shared" si="16"/>
        <v>99.109577934043898</v>
      </c>
      <c r="E52" s="264">
        <v>65871</v>
      </c>
      <c r="F52" s="264">
        <v>65474</v>
      </c>
      <c r="G52" s="265">
        <f t="shared" si="19"/>
        <v>99.397306857342386</v>
      </c>
      <c r="H52" s="264">
        <v>66382</v>
      </c>
      <c r="I52" s="264">
        <v>66264</v>
      </c>
      <c r="J52" s="265">
        <f t="shared" si="20"/>
        <v>99.822240968937365</v>
      </c>
      <c r="K52" s="274">
        <f t="shared" si="15"/>
        <v>198967</v>
      </c>
      <c r="M52" s="258"/>
    </row>
    <row r="53" spans="1:13" x14ac:dyDescent="0.3">
      <c r="A53" s="263" t="s">
        <v>394</v>
      </c>
      <c r="B53" s="264">
        <v>19982</v>
      </c>
      <c r="C53" s="264">
        <v>19944</v>
      </c>
      <c r="D53" s="265">
        <f t="shared" si="16"/>
        <v>99.809828845961363</v>
      </c>
      <c r="E53" s="264">
        <v>19086</v>
      </c>
      <c r="F53" s="264">
        <v>19045</v>
      </c>
      <c r="G53" s="265">
        <f t="shared" si="19"/>
        <v>99.785182856544068</v>
      </c>
      <c r="H53" s="264">
        <v>18140</v>
      </c>
      <c r="I53" s="264">
        <v>18103</v>
      </c>
      <c r="J53" s="265">
        <f t="shared" si="20"/>
        <v>99.79603087100331</v>
      </c>
      <c r="K53" s="274">
        <f t="shared" si="15"/>
        <v>57092</v>
      </c>
      <c r="M53" s="258"/>
    </row>
    <row r="54" spans="1:13" x14ac:dyDescent="0.3">
      <c r="A54" s="263" t="s">
        <v>396</v>
      </c>
      <c r="B54" s="264">
        <v>60789</v>
      </c>
      <c r="C54" s="264">
        <v>58871</v>
      </c>
      <c r="D54" s="265">
        <f t="shared" si="16"/>
        <v>96.844823899060685</v>
      </c>
      <c r="E54" s="264">
        <v>61091</v>
      </c>
      <c r="F54" s="264">
        <v>59639</v>
      </c>
      <c r="G54" s="265">
        <f t="shared" si="19"/>
        <v>97.623217822592522</v>
      </c>
      <c r="H54" s="264">
        <v>69580</v>
      </c>
      <c r="I54" s="264">
        <v>67976</v>
      </c>
      <c r="J54" s="265">
        <f t="shared" si="20"/>
        <v>97.694739867778097</v>
      </c>
      <c r="K54" s="274">
        <f t="shared" si="15"/>
        <v>186486</v>
      </c>
      <c r="M54" s="258"/>
    </row>
    <row r="55" spans="1:13" x14ac:dyDescent="0.3">
      <c r="A55" s="263" t="s">
        <v>398</v>
      </c>
      <c r="B55" s="264">
        <v>88814</v>
      </c>
      <c r="C55" s="264">
        <v>88755</v>
      </c>
      <c r="D55" s="265">
        <f t="shared" si="16"/>
        <v>99.933569031909386</v>
      </c>
      <c r="E55" s="264">
        <v>86762</v>
      </c>
      <c r="F55" s="264">
        <v>86710</v>
      </c>
      <c r="G55" s="265">
        <f t="shared" si="19"/>
        <v>99.940065927479779</v>
      </c>
      <c r="H55" s="264">
        <v>86342</v>
      </c>
      <c r="I55" s="264">
        <v>86282</v>
      </c>
      <c r="J55" s="265">
        <f t="shared" si="20"/>
        <v>99.93050890644183</v>
      </c>
      <c r="K55" s="274">
        <f t="shared" si="15"/>
        <v>261747</v>
      </c>
      <c r="M55" s="258"/>
    </row>
    <row r="56" spans="1:13" x14ac:dyDescent="0.3">
      <c r="A56" s="263" t="s">
        <v>841</v>
      </c>
      <c r="B56" s="264">
        <v>40663</v>
      </c>
      <c r="C56" s="264">
        <v>40574</v>
      </c>
      <c r="D56" s="265">
        <f t="shared" si="16"/>
        <v>99.781127806605511</v>
      </c>
      <c r="E56" s="264">
        <v>40093</v>
      </c>
      <c r="F56" s="264">
        <v>39989</v>
      </c>
      <c r="G56" s="265">
        <f t="shared" si="19"/>
        <v>99.740603097797617</v>
      </c>
      <c r="H56" s="264">
        <v>40425</v>
      </c>
      <c r="I56" s="264">
        <v>40374</v>
      </c>
      <c r="J56" s="265">
        <f t="shared" si="20"/>
        <v>99.873840445269011</v>
      </c>
      <c r="K56" s="274">
        <f t="shared" si="15"/>
        <v>120937</v>
      </c>
      <c r="M56" s="258"/>
    </row>
    <row r="57" spans="1:13" x14ac:dyDescent="0.3">
      <c r="A57" s="263" t="s">
        <v>842</v>
      </c>
      <c r="B57" s="264">
        <v>38513</v>
      </c>
      <c r="C57" s="264">
        <v>37642</v>
      </c>
      <c r="D57" s="265">
        <f t="shared" si="16"/>
        <v>97.738425986030691</v>
      </c>
      <c r="E57" s="264">
        <v>37426</v>
      </c>
      <c r="F57" s="264">
        <v>37014</v>
      </c>
      <c r="G57" s="265">
        <f t="shared" si="19"/>
        <v>98.899161011061835</v>
      </c>
      <c r="H57" s="264">
        <v>37573</v>
      </c>
      <c r="I57" s="264">
        <v>37029</v>
      </c>
      <c r="J57" s="265">
        <f t="shared" si="20"/>
        <v>98.552151811140973</v>
      </c>
      <c r="K57" s="274">
        <f t="shared" si="15"/>
        <v>111685</v>
      </c>
      <c r="M57" s="258"/>
    </row>
    <row r="58" spans="1:13" x14ac:dyDescent="0.3">
      <c r="A58" s="269" t="s">
        <v>828</v>
      </c>
      <c r="B58" s="270">
        <f>SUM(B44:B57)</f>
        <v>791737</v>
      </c>
      <c r="C58" s="270">
        <f>SUM(C44:C57)</f>
        <v>774630</v>
      </c>
      <c r="D58" s="271">
        <f>C58*100/B58</f>
        <v>97.839307749922</v>
      </c>
      <c r="E58" s="270">
        <f>SUM(E44:E57)</f>
        <v>775695</v>
      </c>
      <c r="F58" s="270">
        <f>SUM(F44:F57)</f>
        <v>760434</v>
      </c>
      <c r="G58" s="271">
        <f>F58*100/E58</f>
        <v>98.032603020517087</v>
      </c>
      <c r="H58" s="270">
        <f>SUM(H44:H57)</f>
        <v>790698</v>
      </c>
      <c r="I58" s="270">
        <f>SUM(I44:I57)</f>
        <v>771953</v>
      </c>
      <c r="J58" s="271">
        <f>I58*100/H58</f>
        <v>97.62930979969596</v>
      </c>
      <c r="K58" s="270">
        <f>SUM(K44:K57)</f>
        <v>2307017</v>
      </c>
      <c r="M58" s="258"/>
    </row>
    <row r="60" spans="1:13" ht="13.05" customHeight="1" x14ac:dyDescent="0.3">
      <c r="A60" s="448" t="s">
        <v>761</v>
      </c>
      <c r="B60" s="458" t="s">
        <v>856</v>
      </c>
      <c r="C60" s="458"/>
      <c r="D60" s="458"/>
      <c r="E60" s="458" t="s">
        <v>857</v>
      </c>
      <c r="F60" s="458"/>
      <c r="G60" s="458"/>
      <c r="H60" s="458" t="s">
        <v>858</v>
      </c>
      <c r="I60" s="458"/>
      <c r="J60" s="458"/>
      <c r="K60" s="458" t="s">
        <v>833</v>
      </c>
    </row>
    <row r="61" spans="1:13" ht="13.05" customHeight="1" x14ac:dyDescent="0.3">
      <c r="A61" s="449"/>
      <c r="B61" s="463" t="s">
        <v>849</v>
      </c>
      <c r="C61" s="463"/>
      <c r="D61" s="463"/>
      <c r="E61" s="463" t="s">
        <v>850</v>
      </c>
      <c r="F61" s="463"/>
      <c r="G61" s="463"/>
      <c r="H61" s="463" t="s">
        <v>859</v>
      </c>
      <c r="I61" s="463"/>
      <c r="J61" s="463"/>
      <c r="K61" s="458"/>
    </row>
    <row r="62" spans="1:13" x14ac:dyDescent="0.3">
      <c r="A62" s="450"/>
      <c r="B62" s="260" t="s">
        <v>837</v>
      </c>
      <c r="C62" s="260" t="s">
        <v>838</v>
      </c>
      <c r="D62" s="261" t="s">
        <v>763</v>
      </c>
      <c r="E62" s="260" t="s">
        <v>837</v>
      </c>
      <c r="F62" s="260" t="s">
        <v>838</v>
      </c>
      <c r="G62" s="261" t="s">
        <v>763</v>
      </c>
      <c r="H62" s="260" t="s">
        <v>837</v>
      </c>
      <c r="I62" s="260" t="s">
        <v>838</v>
      </c>
      <c r="J62" s="261" t="s">
        <v>763</v>
      </c>
      <c r="K62" s="458"/>
    </row>
    <row r="63" spans="1:13" x14ac:dyDescent="0.3">
      <c r="A63" s="263" t="s">
        <v>395</v>
      </c>
      <c r="B63" s="264">
        <v>51190</v>
      </c>
      <c r="C63" s="264">
        <v>50687</v>
      </c>
      <c r="D63" s="265">
        <f>C63*100/B63</f>
        <v>99.017386208243792</v>
      </c>
      <c r="E63" s="264">
        <v>49989</v>
      </c>
      <c r="F63" s="264">
        <v>49606</v>
      </c>
      <c r="G63" s="265">
        <f>F63*100/E63</f>
        <v>99.233831442917449</v>
      </c>
      <c r="H63" s="264">
        <v>47149</v>
      </c>
      <c r="I63" s="264">
        <v>46800</v>
      </c>
      <c r="J63" s="265">
        <f>I63*100/H63</f>
        <v>99.259793420857278</v>
      </c>
      <c r="K63" s="274">
        <f t="shared" ref="K63:K76" si="21">C63+F63+I63</f>
        <v>147093</v>
      </c>
    </row>
    <row r="64" spans="1:13" x14ac:dyDescent="0.3">
      <c r="A64" s="263" t="s">
        <v>386</v>
      </c>
      <c r="B64" s="264">
        <v>82676</v>
      </c>
      <c r="C64" s="264">
        <v>72338</v>
      </c>
      <c r="D64" s="265">
        <f t="shared" ref="D64:D67" si="22">C64*100/B64</f>
        <v>87.495766606995986</v>
      </c>
      <c r="E64" s="264">
        <v>82676</v>
      </c>
      <c r="F64" s="264">
        <v>67957</v>
      </c>
      <c r="G64" s="265">
        <f t="shared" ref="G64:G67" si="23">F64*100/E64</f>
        <v>82.196768106826653</v>
      </c>
      <c r="H64" s="264">
        <v>69966</v>
      </c>
      <c r="I64" s="264">
        <v>71780</v>
      </c>
      <c r="J64" s="265">
        <f t="shared" ref="J64:J77" si="24">I64*100/H64</f>
        <v>102.59268787696881</v>
      </c>
      <c r="K64" s="274">
        <f t="shared" si="21"/>
        <v>212075</v>
      </c>
    </row>
    <row r="65" spans="1:11" x14ac:dyDescent="0.3">
      <c r="A65" s="263" t="s">
        <v>839</v>
      </c>
      <c r="B65" s="264">
        <v>37326</v>
      </c>
      <c r="C65" s="264">
        <v>36424</v>
      </c>
      <c r="D65" s="265">
        <f t="shared" si="22"/>
        <v>97.583453892728926</v>
      </c>
      <c r="E65" s="264">
        <v>38015</v>
      </c>
      <c r="F65" s="264">
        <v>37118</v>
      </c>
      <c r="G65" s="265">
        <f t="shared" si="23"/>
        <v>97.640405103248725</v>
      </c>
      <c r="H65" s="264">
        <v>36486</v>
      </c>
      <c r="I65" s="264">
        <v>35564</v>
      </c>
      <c r="J65" s="265">
        <f t="shared" si="24"/>
        <v>97.473003343748289</v>
      </c>
      <c r="K65" s="274">
        <f t="shared" si="21"/>
        <v>109106</v>
      </c>
    </row>
    <row r="66" spans="1:11" x14ac:dyDescent="0.3">
      <c r="A66" s="263" t="s">
        <v>388</v>
      </c>
      <c r="B66" s="264">
        <v>35527</v>
      </c>
      <c r="C66" s="264">
        <v>31946</v>
      </c>
      <c r="D66" s="265">
        <f t="shared" si="22"/>
        <v>89.920342274889521</v>
      </c>
      <c r="E66" s="264">
        <v>32226</v>
      </c>
      <c r="F66" s="264">
        <v>31964</v>
      </c>
      <c r="G66" s="265">
        <f t="shared" si="23"/>
        <v>99.1869918699187</v>
      </c>
      <c r="H66" s="264">
        <v>35163</v>
      </c>
      <c r="I66" s="264">
        <v>34398</v>
      </c>
      <c r="J66" s="265">
        <f t="shared" si="24"/>
        <v>97.824417711799327</v>
      </c>
      <c r="K66" s="274">
        <f t="shared" si="21"/>
        <v>98308</v>
      </c>
    </row>
    <row r="67" spans="1:11" x14ac:dyDescent="0.3">
      <c r="A67" s="263" t="s">
        <v>389</v>
      </c>
      <c r="B67" s="264">
        <v>69867</v>
      </c>
      <c r="C67" s="264">
        <v>69846</v>
      </c>
      <c r="D67" s="265">
        <f t="shared" si="22"/>
        <v>99.969942891493844</v>
      </c>
      <c r="E67" s="264">
        <v>70702</v>
      </c>
      <c r="F67" s="264">
        <v>70691</v>
      </c>
      <c r="G67" s="265">
        <f t="shared" si="23"/>
        <v>99.984441741393454</v>
      </c>
      <c r="H67" s="264">
        <v>67816</v>
      </c>
      <c r="I67" s="264">
        <v>67809</v>
      </c>
      <c r="J67" s="265">
        <f t="shared" si="24"/>
        <v>99.989677952105694</v>
      </c>
      <c r="K67" s="274">
        <f t="shared" si="21"/>
        <v>208346</v>
      </c>
    </row>
    <row r="68" spans="1:11" x14ac:dyDescent="0.3">
      <c r="A68" s="263" t="s">
        <v>840</v>
      </c>
      <c r="B68" s="264">
        <v>22030</v>
      </c>
      <c r="C68" s="264">
        <v>21569</v>
      </c>
      <c r="D68" s="265">
        <v>99.874924954972983</v>
      </c>
      <c r="E68" s="264">
        <v>23510</v>
      </c>
      <c r="F68" s="264">
        <v>23255</v>
      </c>
      <c r="G68" s="265">
        <v>99.874924954972983</v>
      </c>
      <c r="H68" s="264">
        <v>20173</v>
      </c>
      <c r="I68" s="264">
        <v>19963</v>
      </c>
      <c r="J68" s="265">
        <v>99.874924954972983</v>
      </c>
      <c r="K68" s="274">
        <f t="shared" si="21"/>
        <v>64787</v>
      </c>
    </row>
    <row r="69" spans="1:11" x14ac:dyDescent="0.3">
      <c r="A69" s="263" t="s">
        <v>391</v>
      </c>
      <c r="B69" s="264">
        <v>65270</v>
      </c>
      <c r="C69" s="264">
        <v>64206</v>
      </c>
      <c r="D69" s="265">
        <f t="shared" ref="D69:D77" si="25">C69*100/B69</f>
        <v>98.369848322353306</v>
      </c>
      <c r="E69" s="264">
        <v>66418</v>
      </c>
      <c r="F69" s="264">
        <v>65560</v>
      </c>
      <c r="G69" s="265">
        <f t="shared" ref="G69:G77" si="26">F69*100/E69</f>
        <v>98.708181517058634</v>
      </c>
      <c r="H69" s="264">
        <v>60905</v>
      </c>
      <c r="I69" s="264">
        <v>60150</v>
      </c>
      <c r="J69" s="265">
        <f t="shared" si="24"/>
        <v>98.760364502093424</v>
      </c>
      <c r="K69" s="274">
        <f t="shared" si="21"/>
        <v>189916</v>
      </c>
    </row>
    <row r="70" spans="1:11" x14ac:dyDescent="0.3">
      <c r="A70" s="263" t="s">
        <v>392</v>
      </c>
      <c r="B70" s="264">
        <v>90019</v>
      </c>
      <c r="C70" s="264">
        <v>86200</v>
      </c>
      <c r="D70" s="265">
        <f t="shared" si="25"/>
        <v>95.757562292404941</v>
      </c>
      <c r="E70" s="264">
        <v>90942</v>
      </c>
      <c r="F70" s="264">
        <v>87729</v>
      </c>
      <c r="G70" s="265">
        <f t="shared" si="26"/>
        <v>96.466978953618792</v>
      </c>
      <c r="H70" s="264">
        <v>87593</v>
      </c>
      <c r="I70" s="264">
        <v>84841</v>
      </c>
      <c r="J70" s="265">
        <f t="shared" si="24"/>
        <v>96.858196431221671</v>
      </c>
      <c r="K70" s="274">
        <f t="shared" si="21"/>
        <v>258770</v>
      </c>
    </row>
    <row r="71" spans="1:11" x14ac:dyDescent="0.3">
      <c r="A71" s="263" t="s">
        <v>393</v>
      </c>
      <c r="B71" s="264">
        <v>64497</v>
      </c>
      <c r="C71" s="264">
        <v>64497</v>
      </c>
      <c r="D71" s="265">
        <f t="shared" si="25"/>
        <v>100</v>
      </c>
      <c r="E71" s="264">
        <v>67450</v>
      </c>
      <c r="F71" s="264">
        <v>67450</v>
      </c>
      <c r="G71" s="265">
        <f t="shared" si="26"/>
        <v>100</v>
      </c>
      <c r="H71" s="264">
        <v>63857</v>
      </c>
      <c r="I71" s="264">
        <v>62657</v>
      </c>
      <c r="J71" s="265">
        <f t="shared" si="24"/>
        <v>98.120801165103273</v>
      </c>
      <c r="K71" s="274">
        <f t="shared" si="21"/>
        <v>194604</v>
      </c>
    </row>
    <row r="72" spans="1:11" x14ac:dyDescent="0.3">
      <c r="A72" s="263" t="s">
        <v>394</v>
      </c>
      <c r="B72" s="264">
        <v>18157</v>
      </c>
      <c r="C72" s="264">
        <v>18132</v>
      </c>
      <c r="D72" s="265">
        <f t="shared" si="25"/>
        <v>99.86231205595638</v>
      </c>
      <c r="E72" s="264">
        <v>16963</v>
      </c>
      <c r="F72" s="264">
        <v>16939</v>
      </c>
      <c r="G72" s="265">
        <f t="shared" si="26"/>
        <v>99.85851559276071</v>
      </c>
      <c r="H72" s="264">
        <v>16981</v>
      </c>
      <c r="I72" s="264">
        <v>16948</v>
      </c>
      <c r="J72" s="265">
        <f t="shared" si="24"/>
        <v>99.805665155173429</v>
      </c>
      <c r="K72" s="274">
        <f t="shared" si="21"/>
        <v>52019</v>
      </c>
    </row>
    <row r="73" spans="1:11" x14ac:dyDescent="0.3">
      <c r="A73" s="263" t="s">
        <v>396</v>
      </c>
      <c r="B73" s="264">
        <v>58291</v>
      </c>
      <c r="C73" s="264">
        <v>57845</v>
      </c>
      <c r="D73" s="265">
        <f t="shared" si="25"/>
        <v>99.234873308057843</v>
      </c>
      <c r="E73" s="264">
        <v>58919</v>
      </c>
      <c r="F73" s="264">
        <v>57201</v>
      </c>
      <c r="G73" s="265">
        <f t="shared" si="26"/>
        <v>97.08413245302873</v>
      </c>
      <c r="H73" s="264">
        <v>65786</v>
      </c>
      <c r="I73" s="264">
        <v>64363</v>
      </c>
      <c r="J73" s="265">
        <f t="shared" si="24"/>
        <v>97.8369257896817</v>
      </c>
      <c r="K73" s="274">
        <f t="shared" si="21"/>
        <v>179409</v>
      </c>
    </row>
    <row r="74" spans="1:11" x14ac:dyDescent="0.3">
      <c r="A74" s="263" t="s">
        <v>398</v>
      </c>
      <c r="B74" s="264">
        <v>85946</v>
      </c>
      <c r="C74" s="264">
        <v>85901</v>
      </c>
      <c r="D74" s="265">
        <f t="shared" si="25"/>
        <v>99.947641542363812</v>
      </c>
      <c r="E74" s="264">
        <v>82191</v>
      </c>
      <c r="F74" s="264">
        <v>82140</v>
      </c>
      <c r="G74" s="265">
        <f t="shared" si="26"/>
        <v>99.937949410519394</v>
      </c>
      <c r="H74" s="264">
        <v>76990</v>
      </c>
      <c r="I74" s="264">
        <v>76947</v>
      </c>
      <c r="J74" s="265">
        <f t="shared" si="24"/>
        <v>99.944148590726073</v>
      </c>
      <c r="K74" s="274">
        <f t="shared" si="21"/>
        <v>244988</v>
      </c>
    </row>
    <row r="75" spans="1:11" x14ac:dyDescent="0.3">
      <c r="A75" s="263" t="s">
        <v>841</v>
      </c>
      <c r="B75" s="264">
        <v>38894</v>
      </c>
      <c r="C75" s="264">
        <v>38794</v>
      </c>
      <c r="D75" s="265">
        <f t="shared" si="25"/>
        <v>99.742890934334341</v>
      </c>
      <c r="E75" s="264">
        <v>37366</v>
      </c>
      <c r="F75" s="264">
        <v>37324</v>
      </c>
      <c r="G75" s="265">
        <f t="shared" si="26"/>
        <v>99.887598351442492</v>
      </c>
      <c r="H75" s="264">
        <v>38017</v>
      </c>
      <c r="I75" s="264">
        <v>37980</v>
      </c>
      <c r="J75" s="265">
        <f t="shared" si="24"/>
        <v>99.902675119025702</v>
      </c>
      <c r="K75" s="274">
        <f t="shared" si="21"/>
        <v>114098</v>
      </c>
    </row>
    <row r="76" spans="1:11" x14ac:dyDescent="0.3">
      <c r="A76" s="263" t="s">
        <v>842</v>
      </c>
      <c r="B76" s="264">
        <v>38126</v>
      </c>
      <c r="C76" s="264">
        <v>37278</v>
      </c>
      <c r="D76" s="265">
        <f t="shared" si="25"/>
        <v>97.775796044693905</v>
      </c>
      <c r="E76" s="264">
        <v>42417</v>
      </c>
      <c r="F76" s="264">
        <v>41271</v>
      </c>
      <c r="G76" s="265">
        <f t="shared" si="26"/>
        <v>97.298253058915051</v>
      </c>
      <c r="H76" s="264">
        <v>36919</v>
      </c>
      <c r="I76" s="264">
        <v>36373</v>
      </c>
      <c r="J76" s="265">
        <f t="shared" si="24"/>
        <v>98.52108670332349</v>
      </c>
      <c r="K76" s="274">
        <f t="shared" si="21"/>
        <v>114922</v>
      </c>
    </row>
    <row r="77" spans="1:11" x14ac:dyDescent="0.3">
      <c r="A77" s="269" t="s">
        <v>828</v>
      </c>
      <c r="B77" s="270">
        <f>SUM(B63:B76)</f>
        <v>757816</v>
      </c>
      <c r="C77" s="270">
        <f>SUM(C63:C76)</f>
        <v>735663</v>
      </c>
      <c r="D77" s="271">
        <f t="shared" si="25"/>
        <v>97.076731027056695</v>
      </c>
      <c r="E77" s="270">
        <f>SUM(E63:E76)</f>
        <v>759784</v>
      </c>
      <c r="F77" s="270">
        <f>SUM(F63:F76)</f>
        <v>736205</v>
      </c>
      <c r="G77" s="271">
        <f t="shared" si="26"/>
        <v>96.896617986164486</v>
      </c>
      <c r="H77" s="270">
        <f>SUM(H63:H76)</f>
        <v>723801</v>
      </c>
      <c r="I77" s="270">
        <f>SUM(I63:I76)</f>
        <v>716573</v>
      </c>
      <c r="J77" s="271">
        <f t="shared" si="24"/>
        <v>99.001382976812693</v>
      </c>
      <c r="K77" s="270">
        <f>SUM(K63:K76)</f>
        <v>2188441</v>
      </c>
    </row>
    <row r="79" spans="1:11" ht="15" customHeight="1" x14ac:dyDescent="0.3">
      <c r="A79" s="448" t="s">
        <v>761</v>
      </c>
      <c r="B79" s="454" t="s">
        <v>860</v>
      </c>
      <c r="C79" s="454"/>
      <c r="D79" s="454"/>
      <c r="E79" s="454" t="s">
        <v>861</v>
      </c>
      <c r="F79" s="454"/>
      <c r="G79" s="454"/>
      <c r="H79" s="454" t="s">
        <v>862</v>
      </c>
      <c r="I79" s="454"/>
      <c r="J79" s="454"/>
      <c r="K79" s="458" t="s">
        <v>833</v>
      </c>
    </row>
    <row r="80" spans="1:11" x14ac:dyDescent="0.3">
      <c r="A80" s="449"/>
      <c r="B80" s="459" t="s">
        <v>849</v>
      </c>
      <c r="C80" s="459"/>
      <c r="D80" s="459"/>
      <c r="E80" s="459" t="s">
        <v>850</v>
      </c>
      <c r="F80" s="459"/>
      <c r="G80" s="459"/>
      <c r="H80" s="459" t="s">
        <v>851</v>
      </c>
      <c r="I80" s="459"/>
      <c r="J80" s="459"/>
      <c r="K80" s="458"/>
    </row>
    <row r="81" spans="1:11" x14ac:dyDescent="0.3">
      <c r="A81" s="450"/>
      <c r="B81" s="260" t="s">
        <v>837</v>
      </c>
      <c r="C81" s="260" t="s">
        <v>838</v>
      </c>
      <c r="D81" s="261" t="s">
        <v>763</v>
      </c>
      <c r="E81" s="260" t="s">
        <v>837</v>
      </c>
      <c r="F81" s="260" t="s">
        <v>838</v>
      </c>
      <c r="G81" s="261" t="s">
        <v>763</v>
      </c>
      <c r="H81" s="260" t="s">
        <v>837</v>
      </c>
      <c r="I81" s="260" t="s">
        <v>838</v>
      </c>
      <c r="J81" s="261" t="s">
        <v>763</v>
      </c>
      <c r="K81" s="458"/>
    </row>
    <row r="82" spans="1:11" x14ac:dyDescent="0.3">
      <c r="A82" s="263" t="s">
        <v>395</v>
      </c>
      <c r="B82" s="264">
        <v>33762</v>
      </c>
      <c r="C82" s="264">
        <v>33528</v>
      </c>
      <c r="D82" s="265">
        <f>C82*100/B82</f>
        <v>99.306913097565314</v>
      </c>
      <c r="E82" s="264">
        <v>26129</v>
      </c>
      <c r="F82" s="264">
        <v>25507</v>
      </c>
      <c r="G82" s="265">
        <f>F82*100/E82</f>
        <v>97.619503233954603</v>
      </c>
      <c r="H82" s="264">
        <v>19997</v>
      </c>
      <c r="I82" s="264">
        <v>19997</v>
      </c>
      <c r="J82" s="265">
        <f>I82*100/H82</f>
        <v>100</v>
      </c>
      <c r="K82" s="274">
        <f t="shared" ref="K82:K95" si="27">C82+F82+I82</f>
        <v>79032</v>
      </c>
    </row>
    <row r="83" spans="1:11" x14ac:dyDescent="0.3">
      <c r="A83" s="263" t="s">
        <v>386</v>
      </c>
      <c r="B83" s="264">
        <v>36676</v>
      </c>
      <c r="C83" s="264">
        <v>35906</v>
      </c>
      <c r="D83" s="265">
        <f t="shared" ref="D83:D95" si="28">C83*100/B83</f>
        <v>97.900534409423059</v>
      </c>
      <c r="E83" s="264">
        <v>32676</v>
      </c>
      <c r="F83" s="264">
        <v>29391</v>
      </c>
      <c r="G83" s="265">
        <f t="shared" ref="G83:G86" si="29">F83*100/E83</f>
        <v>89.946749908189503</v>
      </c>
      <c r="H83" s="264">
        <v>27676</v>
      </c>
      <c r="I83" s="264">
        <v>25491</v>
      </c>
      <c r="J83" s="265">
        <f t="shared" ref="J83:J86" si="30">I83*100/H83</f>
        <v>92.105072987425928</v>
      </c>
      <c r="K83" s="274">
        <f t="shared" si="27"/>
        <v>90788</v>
      </c>
    </row>
    <row r="84" spans="1:11" x14ac:dyDescent="0.3">
      <c r="A84" s="263" t="s">
        <v>839</v>
      </c>
      <c r="B84" s="264">
        <v>28811</v>
      </c>
      <c r="C84" s="264">
        <v>27884</v>
      </c>
      <c r="D84" s="265">
        <f t="shared" si="28"/>
        <v>96.782478914303567</v>
      </c>
      <c r="E84" s="264">
        <v>25187</v>
      </c>
      <c r="F84" s="264">
        <v>23759</v>
      </c>
      <c r="G84" s="265">
        <f t="shared" si="29"/>
        <v>94.330408544090204</v>
      </c>
      <c r="H84" s="264">
        <v>23080</v>
      </c>
      <c r="I84" s="264">
        <v>21774</v>
      </c>
      <c r="J84" s="265">
        <f t="shared" si="30"/>
        <v>94.341421143847484</v>
      </c>
      <c r="K84" s="274">
        <f t="shared" si="27"/>
        <v>73417</v>
      </c>
    </row>
    <row r="85" spans="1:11" x14ac:dyDescent="0.3">
      <c r="A85" s="263" t="s">
        <v>388</v>
      </c>
      <c r="B85" s="264">
        <v>28527</v>
      </c>
      <c r="C85" s="264">
        <v>26817</v>
      </c>
      <c r="D85" s="265">
        <f t="shared" si="28"/>
        <v>94.005678830581559</v>
      </c>
      <c r="E85" s="264">
        <v>26226</v>
      </c>
      <c r="F85" s="264">
        <v>24578</v>
      </c>
      <c r="G85" s="265">
        <f t="shared" si="29"/>
        <v>93.716159536337983</v>
      </c>
      <c r="H85" s="264">
        <v>26411</v>
      </c>
      <c r="I85" s="264">
        <v>23725</v>
      </c>
      <c r="J85" s="265">
        <f t="shared" si="30"/>
        <v>89.829995077808491</v>
      </c>
      <c r="K85" s="274">
        <f t="shared" si="27"/>
        <v>75120</v>
      </c>
    </row>
    <row r="86" spans="1:11" x14ac:dyDescent="0.3">
      <c r="A86" s="263" t="s">
        <v>389</v>
      </c>
      <c r="B86" s="264">
        <v>48257</v>
      </c>
      <c r="C86" s="264">
        <v>48257</v>
      </c>
      <c r="D86" s="265">
        <f t="shared" si="28"/>
        <v>100</v>
      </c>
      <c r="E86" s="264">
        <v>40455</v>
      </c>
      <c r="F86" s="264">
        <v>40455</v>
      </c>
      <c r="G86" s="265">
        <f t="shared" si="29"/>
        <v>100</v>
      </c>
      <c r="H86" s="264">
        <v>34627</v>
      </c>
      <c r="I86" s="264">
        <v>34625</v>
      </c>
      <c r="J86" s="265">
        <f t="shared" si="30"/>
        <v>99.994224160337311</v>
      </c>
      <c r="K86" s="274">
        <f t="shared" si="27"/>
        <v>123337</v>
      </c>
    </row>
    <row r="87" spans="1:11" x14ac:dyDescent="0.3">
      <c r="A87" s="263" t="s">
        <v>840</v>
      </c>
      <c r="B87" s="264">
        <v>16602</v>
      </c>
      <c r="C87" s="264">
        <v>16415</v>
      </c>
      <c r="D87" s="265">
        <f>C87/B87*100</f>
        <v>98.873629683170705</v>
      </c>
      <c r="E87" s="264">
        <v>14226</v>
      </c>
      <c r="F87" s="264">
        <v>14116</v>
      </c>
      <c r="G87" s="265">
        <f>F87/E87*100</f>
        <v>99.226767889779282</v>
      </c>
      <c r="H87" s="264">
        <v>11475</v>
      </c>
      <c r="I87" s="264">
        <v>11383</v>
      </c>
      <c r="J87" s="265">
        <f>I87/H87*100</f>
        <v>99.19825708061002</v>
      </c>
      <c r="K87" s="274">
        <f t="shared" si="27"/>
        <v>41914</v>
      </c>
    </row>
    <row r="88" spans="1:11" x14ac:dyDescent="0.3">
      <c r="A88" s="263" t="s">
        <v>391</v>
      </c>
      <c r="B88" s="264">
        <v>41810</v>
      </c>
      <c r="C88" s="264">
        <v>41445</v>
      </c>
      <c r="D88" s="265">
        <f t="shared" si="28"/>
        <v>99.127003109303999</v>
      </c>
      <c r="E88" s="264">
        <v>23457</v>
      </c>
      <c r="F88" s="264">
        <v>23162</v>
      </c>
      <c r="G88" s="265">
        <f t="shared" ref="G88:G95" si="31">F88*100/E88</f>
        <v>98.742379673445029</v>
      </c>
      <c r="H88" s="264">
        <v>23457</v>
      </c>
      <c r="I88" s="264">
        <v>23162</v>
      </c>
      <c r="J88" s="265">
        <f t="shared" ref="J88:J95" si="32">I88*100/H88</f>
        <v>98.742379673445029</v>
      </c>
      <c r="K88" s="274">
        <f t="shared" si="27"/>
        <v>87769</v>
      </c>
    </row>
    <row r="89" spans="1:11" x14ac:dyDescent="0.3">
      <c r="A89" s="263" t="s">
        <v>392</v>
      </c>
      <c r="B89" s="264">
        <v>69863</v>
      </c>
      <c r="C89" s="264">
        <v>66690</v>
      </c>
      <c r="D89" s="265">
        <f t="shared" si="28"/>
        <v>95.458254011422355</v>
      </c>
      <c r="E89" s="264">
        <v>67572</v>
      </c>
      <c r="F89" s="264">
        <v>63734</v>
      </c>
      <c r="G89" s="265">
        <f t="shared" si="31"/>
        <v>94.320132599301488</v>
      </c>
      <c r="H89" s="264">
        <v>59759</v>
      </c>
      <c r="I89" s="264">
        <v>58443</v>
      </c>
      <c r="J89" s="265">
        <f t="shared" si="32"/>
        <v>97.797821248682212</v>
      </c>
      <c r="K89" s="274">
        <f t="shared" si="27"/>
        <v>188867</v>
      </c>
    </row>
    <row r="90" spans="1:11" x14ac:dyDescent="0.3">
      <c r="A90" s="263" t="s">
        <v>393</v>
      </c>
      <c r="B90" s="264">
        <v>51655</v>
      </c>
      <c r="C90" s="264">
        <v>46810</v>
      </c>
      <c r="D90" s="265">
        <f t="shared" si="28"/>
        <v>90.620462685122448</v>
      </c>
      <c r="E90" s="264">
        <v>46846</v>
      </c>
      <c r="F90" s="264">
        <v>41872</v>
      </c>
      <c r="G90" s="265">
        <f t="shared" si="31"/>
        <v>89.382231140332152</v>
      </c>
      <c r="H90" s="264">
        <v>46460</v>
      </c>
      <c r="I90" s="264">
        <v>43391</v>
      </c>
      <c r="J90" s="265">
        <f t="shared" si="32"/>
        <v>93.394317692638836</v>
      </c>
      <c r="K90" s="274">
        <f t="shared" si="27"/>
        <v>132073</v>
      </c>
    </row>
    <row r="91" spans="1:11" x14ac:dyDescent="0.3">
      <c r="A91" s="263" t="s">
        <v>394</v>
      </c>
      <c r="B91" s="264">
        <v>9497</v>
      </c>
      <c r="C91" s="264">
        <v>9472</v>
      </c>
      <c r="D91" s="265">
        <f t="shared" si="28"/>
        <v>99.7367589765189</v>
      </c>
      <c r="E91" s="264">
        <v>6531</v>
      </c>
      <c r="F91" s="264">
        <v>6517</v>
      </c>
      <c r="G91" s="265">
        <f t="shared" si="31"/>
        <v>99.785637727759919</v>
      </c>
      <c r="H91" s="264">
        <v>3857</v>
      </c>
      <c r="I91" s="264">
        <v>3839</v>
      </c>
      <c r="J91" s="265">
        <f t="shared" si="32"/>
        <v>99.533316048742549</v>
      </c>
      <c r="K91" s="274">
        <f t="shared" si="27"/>
        <v>19828</v>
      </c>
    </row>
    <row r="92" spans="1:11" x14ac:dyDescent="0.3">
      <c r="A92" s="263" t="s">
        <v>396</v>
      </c>
      <c r="B92" s="264">
        <v>45027</v>
      </c>
      <c r="C92" s="264">
        <v>44184</v>
      </c>
      <c r="D92" s="265">
        <f t="shared" si="28"/>
        <v>98.127789992671069</v>
      </c>
      <c r="E92" s="264">
        <v>48239</v>
      </c>
      <c r="F92" s="264">
        <v>47341</v>
      </c>
      <c r="G92" s="265">
        <f t="shared" si="31"/>
        <v>98.138435705549455</v>
      </c>
      <c r="H92" s="264">
        <v>26213</v>
      </c>
      <c r="I92" s="264">
        <v>25935</v>
      </c>
      <c r="J92" s="265">
        <f t="shared" si="32"/>
        <v>98.93945752107733</v>
      </c>
      <c r="K92" s="274">
        <f t="shared" si="27"/>
        <v>117460</v>
      </c>
    </row>
    <row r="93" spans="1:11" x14ac:dyDescent="0.3">
      <c r="A93" s="263" t="s">
        <v>398</v>
      </c>
      <c r="B93" s="264">
        <v>50625</v>
      </c>
      <c r="C93" s="264">
        <v>50623</v>
      </c>
      <c r="D93" s="265">
        <f t="shared" si="28"/>
        <v>99.996049382716052</v>
      </c>
      <c r="E93" s="264">
        <v>36311</v>
      </c>
      <c r="F93" s="264">
        <v>36307</v>
      </c>
      <c r="G93" s="265">
        <f t="shared" si="31"/>
        <v>99.988984054418765</v>
      </c>
      <c r="H93" s="264">
        <v>24277</v>
      </c>
      <c r="I93" s="264">
        <v>24277</v>
      </c>
      <c r="J93" s="265">
        <f t="shared" si="32"/>
        <v>100</v>
      </c>
      <c r="K93" s="274">
        <f t="shared" si="27"/>
        <v>111207</v>
      </c>
    </row>
    <row r="94" spans="1:11" x14ac:dyDescent="0.3">
      <c r="A94" s="263" t="s">
        <v>841</v>
      </c>
      <c r="B94" s="264">
        <v>24420</v>
      </c>
      <c r="C94" s="264">
        <v>24417</v>
      </c>
      <c r="D94" s="265">
        <f t="shared" si="28"/>
        <v>99.987714987714995</v>
      </c>
      <c r="E94" s="264">
        <v>20148</v>
      </c>
      <c r="F94" s="264">
        <v>20148</v>
      </c>
      <c r="G94" s="265">
        <f t="shared" si="31"/>
        <v>100</v>
      </c>
      <c r="H94" s="264">
        <v>16409</v>
      </c>
      <c r="I94" s="264">
        <v>16409</v>
      </c>
      <c r="J94" s="265">
        <f t="shared" si="32"/>
        <v>100</v>
      </c>
      <c r="K94" s="274">
        <f t="shared" si="27"/>
        <v>60974</v>
      </c>
    </row>
    <row r="95" spans="1:11" x14ac:dyDescent="0.3">
      <c r="A95" s="263" t="s">
        <v>842</v>
      </c>
      <c r="B95" s="264">
        <v>26080</v>
      </c>
      <c r="C95" s="264">
        <v>25688</v>
      </c>
      <c r="D95" s="265">
        <f t="shared" si="28"/>
        <v>98.49693251533742</v>
      </c>
      <c r="E95" s="264">
        <v>21862</v>
      </c>
      <c r="F95" s="264">
        <v>19802</v>
      </c>
      <c r="G95" s="265">
        <f t="shared" si="31"/>
        <v>90.577257341505813</v>
      </c>
      <c r="H95" s="264">
        <v>17812</v>
      </c>
      <c r="I95" s="264">
        <v>15900</v>
      </c>
      <c r="J95" s="265">
        <f t="shared" si="32"/>
        <v>89.265663597574672</v>
      </c>
      <c r="K95" s="274">
        <f t="shared" si="27"/>
        <v>61390</v>
      </c>
    </row>
    <row r="96" spans="1:11" x14ac:dyDescent="0.3">
      <c r="A96" s="269" t="s">
        <v>828</v>
      </c>
      <c r="B96" s="270">
        <f>SUM(B82:B95)</f>
        <v>511612</v>
      </c>
      <c r="C96" s="270">
        <f>SUM(C82:C95)</f>
        <v>498136</v>
      </c>
      <c r="D96" s="271">
        <f>C96*100/B96</f>
        <v>97.365972651149704</v>
      </c>
      <c r="E96" s="270">
        <f>SUM(E82:E95)</f>
        <v>435865</v>
      </c>
      <c r="F96" s="270">
        <f>SUM(F82:F95)</f>
        <v>416689</v>
      </c>
      <c r="G96" s="271">
        <f>F96*100/E96</f>
        <v>95.600472623404031</v>
      </c>
      <c r="H96" s="270">
        <f>SUM(H82:H95)</f>
        <v>361510</v>
      </c>
      <c r="I96" s="270">
        <f>SUM(I82:I95)</f>
        <v>348351</v>
      </c>
      <c r="J96" s="271">
        <f>I96*100/H96</f>
        <v>96.359990041769251</v>
      </c>
      <c r="K96" s="270">
        <f>SUM(K82:K95)</f>
        <v>1263176</v>
      </c>
    </row>
    <row r="98" spans="1:8" ht="15" customHeight="1" x14ac:dyDescent="0.3">
      <c r="A98" s="448" t="s">
        <v>761</v>
      </c>
      <c r="B98" s="455" t="s">
        <v>863</v>
      </c>
      <c r="C98" s="456"/>
      <c r="D98" s="457"/>
      <c r="E98" s="455" t="s">
        <v>864</v>
      </c>
      <c r="F98" s="456"/>
      <c r="G98" s="457"/>
      <c r="H98" s="458" t="s">
        <v>833</v>
      </c>
    </row>
    <row r="99" spans="1:8" x14ac:dyDescent="0.3">
      <c r="A99" s="449"/>
      <c r="B99" s="460" t="s">
        <v>852</v>
      </c>
      <c r="C99" s="461"/>
      <c r="D99" s="462"/>
      <c r="E99" s="460" t="s">
        <v>865</v>
      </c>
      <c r="F99" s="461"/>
      <c r="G99" s="462"/>
      <c r="H99" s="458"/>
    </row>
    <row r="100" spans="1:8" x14ac:dyDescent="0.3">
      <c r="A100" s="450"/>
      <c r="B100" s="260" t="s">
        <v>837</v>
      </c>
      <c r="C100" s="260" t="s">
        <v>838</v>
      </c>
      <c r="D100" s="261" t="s">
        <v>763</v>
      </c>
      <c r="E100" s="260" t="s">
        <v>837</v>
      </c>
      <c r="F100" s="260" t="s">
        <v>838</v>
      </c>
      <c r="G100" s="261" t="s">
        <v>763</v>
      </c>
      <c r="H100" s="458"/>
    </row>
    <row r="101" spans="1:8" x14ac:dyDescent="0.3">
      <c r="A101" s="263" t="s">
        <v>395</v>
      </c>
      <c r="B101" s="264">
        <v>37113</v>
      </c>
      <c r="C101" s="264">
        <v>37088</v>
      </c>
      <c r="D101" s="265">
        <f>C101*100/B101</f>
        <v>99.932638159135607</v>
      </c>
      <c r="E101" s="264">
        <v>35266</v>
      </c>
      <c r="F101" s="264">
        <v>35266</v>
      </c>
      <c r="G101" s="265">
        <f>F101*100/E101</f>
        <v>100</v>
      </c>
      <c r="H101" s="274">
        <f t="shared" ref="H101:H114" si="33">C101+F101</f>
        <v>72354</v>
      </c>
    </row>
    <row r="102" spans="1:8" x14ac:dyDescent="0.3">
      <c r="A102" s="263" t="s">
        <v>386</v>
      </c>
      <c r="B102" s="264">
        <v>59888</v>
      </c>
      <c r="C102" s="264">
        <v>59072</v>
      </c>
      <c r="D102" s="265">
        <f t="shared" ref="D102:D112" si="34">C102*100/B102</f>
        <v>98.637456585626509</v>
      </c>
      <c r="E102" s="264">
        <v>48802</v>
      </c>
      <c r="F102" s="264">
        <v>47462</v>
      </c>
      <c r="G102" s="265">
        <f>F102*100/E102</f>
        <v>97.254210892996184</v>
      </c>
      <c r="H102" s="274">
        <f t="shared" si="33"/>
        <v>106534</v>
      </c>
    </row>
    <row r="103" spans="1:8" x14ac:dyDescent="0.3">
      <c r="A103" s="263" t="s">
        <v>839</v>
      </c>
      <c r="B103" s="264">
        <v>26613</v>
      </c>
      <c r="C103" s="264">
        <v>26609</v>
      </c>
      <c r="D103" s="265">
        <f t="shared" si="34"/>
        <v>99.984969751625144</v>
      </c>
      <c r="E103" s="264">
        <v>28046</v>
      </c>
      <c r="F103" s="264">
        <v>27966</v>
      </c>
      <c r="G103" s="265">
        <v>99.9</v>
      </c>
      <c r="H103" s="274">
        <f t="shared" si="33"/>
        <v>54575</v>
      </c>
    </row>
    <row r="104" spans="1:8" x14ac:dyDescent="0.3">
      <c r="A104" s="263" t="s">
        <v>388</v>
      </c>
      <c r="B104" s="264">
        <v>26991</v>
      </c>
      <c r="C104" s="264">
        <v>26967</v>
      </c>
      <c r="D104" s="265">
        <f t="shared" si="34"/>
        <v>99.911081471601648</v>
      </c>
      <c r="E104" s="264">
        <v>23122</v>
      </c>
      <c r="F104" s="264">
        <v>22958</v>
      </c>
      <c r="G104" s="265">
        <f t="shared" ref="G104:G115" si="35">F104*100/E104</f>
        <v>99.290718795951904</v>
      </c>
      <c r="H104" s="274">
        <f t="shared" si="33"/>
        <v>49925</v>
      </c>
    </row>
    <row r="105" spans="1:8" x14ac:dyDescent="0.3">
      <c r="A105" s="263" t="s">
        <v>389</v>
      </c>
      <c r="B105" s="264">
        <v>65199</v>
      </c>
      <c r="C105" s="264">
        <v>65199</v>
      </c>
      <c r="D105" s="265">
        <f t="shared" si="34"/>
        <v>100</v>
      </c>
      <c r="E105" s="264">
        <v>51154</v>
      </c>
      <c r="F105" s="264">
        <v>51154</v>
      </c>
      <c r="G105" s="265">
        <f t="shared" si="35"/>
        <v>100</v>
      </c>
      <c r="H105" s="274">
        <f t="shared" si="33"/>
        <v>116353</v>
      </c>
    </row>
    <row r="106" spans="1:8" x14ac:dyDescent="0.3">
      <c r="A106" s="263" t="s">
        <v>840</v>
      </c>
      <c r="B106" s="264">
        <v>17801</v>
      </c>
      <c r="C106" s="264">
        <v>17796</v>
      </c>
      <c r="D106" s="265">
        <f>C106/B106*100</f>
        <v>99.971911690354474</v>
      </c>
      <c r="E106" s="264">
        <v>14983</v>
      </c>
      <c r="F106" s="264">
        <v>14981</v>
      </c>
      <c r="G106" s="265">
        <f>F106/E106*100</f>
        <v>99.9866515384102</v>
      </c>
      <c r="H106" s="274">
        <f t="shared" si="33"/>
        <v>32777</v>
      </c>
    </row>
    <row r="107" spans="1:8" x14ac:dyDescent="0.3">
      <c r="A107" s="263" t="s">
        <v>391</v>
      </c>
      <c r="B107" s="264">
        <v>52163</v>
      </c>
      <c r="C107" s="264">
        <v>52161</v>
      </c>
      <c r="D107" s="265">
        <f t="shared" si="34"/>
        <v>99.996165864693367</v>
      </c>
      <c r="E107" s="264">
        <v>32419</v>
      </c>
      <c r="F107" s="264">
        <v>32417</v>
      </c>
      <c r="G107" s="265">
        <f t="shared" si="35"/>
        <v>99.993830778247329</v>
      </c>
      <c r="H107" s="274">
        <f t="shared" si="33"/>
        <v>84578</v>
      </c>
    </row>
    <row r="108" spans="1:8" x14ac:dyDescent="0.3">
      <c r="A108" s="263" t="s">
        <v>392</v>
      </c>
      <c r="B108" s="264">
        <v>77888</v>
      </c>
      <c r="C108" s="264">
        <v>77727</v>
      </c>
      <c r="D108" s="265">
        <f t="shared" si="34"/>
        <v>99.793292933442899</v>
      </c>
      <c r="E108" s="264">
        <v>64352</v>
      </c>
      <c r="F108" s="264">
        <v>64167</v>
      </c>
      <c r="G108" s="265">
        <f t="shared" si="35"/>
        <v>99.712518647439083</v>
      </c>
      <c r="H108" s="274">
        <f t="shared" si="33"/>
        <v>141894</v>
      </c>
    </row>
    <row r="109" spans="1:8" x14ac:dyDescent="0.3">
      <c r="A109" s="263" t="s">
        <v>393</v>
      </c>
      <c r="B109" s="264">
        <v>56114</v>
      </c>
      <c r="C109" s="264">
        <v>56064</v>
      </c>
      <c r="D109" s="265">
        <f t="shared" si="34"/>
        <v>99.910895676658228</v>
      </c>
      <c r="E109" s="264">
        <v>41304</v>
      </c>
      <c r="F109" s="264">
        <v>41285</v>
      </c>
      <c r="G109" s="265">
        <f t="shared" si="35"/>
        <v>99.953999612628323</v>
      </c>
      <c r="H109" s="274">
        <f t="shared" si="33"/>
        <v>97349</v>
      </c>
    </row>
    <row r="110" spans="1:8" x14ac:dyDescent="0.3">
      <c r="A110" s="263" t="s">
        <v>394</v>
      </c>
      <c r="B110" s="264">
        <v>13421</v>
      </c>
      <c r="C110" s="264">
        <v>13408</v>
      </c>
      <c r="D110" s="265">
        <f t="shared" si="34"/>
        <v>99.90313687504657</v>
      </c>
      <c r="E110" s="264">
        <v>11563</v>
      </c>
      <c r="F110" s="264">
        <v>11552</v>
      </c>
      <c r="G110" s="265">
        <f t="shared" si="35"/>
        <v>99.90486897863876</v>
      </c>
      <c r="H110" s="274">
        <f t="shared" si="33"/>
        <v>24960</v>
      </c>
    </row>
    <row r="111" spans="1:8" x14ac:dyDescent="0.3">
      <c r="A111" s="263" t="s">
        <v>396</v>
      </c>
      <c r="B111" s="264">
        <v>44157</v>
      </c>
      <c r="C111" s="264">
        <v>44044</v>
      </c>
      <c r="D111" s="265">
        <f t="shared" si="34"/>
        <v>99.744094933985551</v>
      </c>
      <c r="E111" s="264">
        <v>42619</v>
      </c>
      <c r="F111" s="264">
        <v>42613</v>
      </c>
      <c r="G111" s="265">
        <f t="shared" si="35"/>
        <v>99.985921771979633</v>
      </c>
      <c r="H111" s="274">
        <f t="shared" si="33"/>
        <v>86657</v>
      </c>
    </row>
    <row r="112" spans="1:8" x14ac:dyDescent="0.3">
      <c r="A112" s="263" t="s">
        <v>398</v>
      </c>
      <c r="B112" s="264">
        <v>62275</v>
      </c>
      <c r="C112" s="264">
        <v>62275</v>
      </c>
      <c r="D112" s="265">
        <f t="shared" si="34"/>
        <v>100</v>
      </c>
      <c r="E112" s="264">
        <v>58058</v>
      </c>
      <c r="F112" s="264">
        <v>58058</v>
      </c>
      <c r="G112" s="265">
        <f t="shared" si="35"/>
        <v>100</v>
      </c>
      <c r="H112" s="274">
        <f t="shared" si="33"/>
        <v>120333</v>
      </c>
    </row>
    <row r="113" spans="1:8" x14ac:dyDescent="0.3">
      <c r="A113" s="263" t="s">
        <v>841</v>
      </c>
      <c r="B113" s="264">
        <v>34270</v>
      </c>
      <c r="C113" s="264">
        <v>34270</v>
      </c>
      <c r="D113" s="265">
        <v>100</v>
      </c>
      <c r="E113" s="264">
        <v>29209</v>
      </c>
      <c r="F113" s="264">
        <v>29209</v>
      </c>
      <c r="G113" s="265">
        <f t="shared" si="35"/>
        <v>100</v>
      </c>
      <c r="H113" s="274">
        <f t="shared" si="33"/>
        <v>63479</v>
      </c>
    </row>
    <row r="114" spans="1:8" x14ac:dyDescent="0.3">
      <c r="A114" s="263" t="s">
        <v>842</v>
      </c>
      <c r="B114" s="264">
        <v>35161</v>
      </c>
      <c r="C114" s="264">
        <v>35089</v>
      </c>
      <c r="D114" s="265">
        <f>C114*100/B114</f>
        <v>99.795227667017429</v>
      </c>
      <c r="E114" s="264">
        <v>27712</v>
      </c>
      <c r="F114" s="264">
        <v>27606</v>
      </c>
      <c r="G114" s="265">
        <f t="shared" si="35"/>
        <v>99.617494226327949</v>
      </c>
      <c r="H114" s="274">
        <f t="shared" si="33"/>
        <v>62695</v>
      </c>
    </row>
    <row r="115" spans="1:8" x14ac:dyDescent="0.3">
      <c r="A115" s="269" t="s">
        <v>828</v>
      </c>
      <c r="B115" s="270">
        <f>SUM(B101:B114)</f>
        <v>609054</v>
      </c>
      <c r="C115" s="270">
        <f>SUM(C101:C114)</f>
        <v>607769</v>
      </c>
      <c r="D115" s="271">
        <f>C115*100/B115</f>
        <v>99.789017065810256</v>
      </c>
      <c r="E115" s="270">
        <f>SUM(E101:E114)</f>
        <v>508609</v>
      </c>
      <c r="F115" s="270">
        <f>SUM(F101:F114)</f>
        <v>506694</v>
      </c>
      <c r="G115" s="271">
        <f t="shared" si="35"/>
        <v>99.623482871911435</v>
      </c>
      <c r="H115" s="270">
        <f>SUM(H101:H114)</f>
        <v>1114463</v>
      </c>
    </row>
    <row r="117" spans="1:8" ht="15" customHeight="1" x14ac:dyDescent="0.3">
      <c r="A117" s="448" t="s">
        <v>761</v>
      </c>
      <c r="B117" s="454" t="s">
        <v>866</v>
      </c>
      <c r="C117" s="454"/>
      <c r="D117" s="454"/>
      <c r="E117" s="455" t="s">
        <v>867</v>
      </c>
      <c r="F117" s="456"/>
      <c r="G117" s="457"/>
      <c r="H117" s="458" t="s">
        <v>833</v>
      </c>
    </row>
    <row r="118" spans="1:8" x14ac:dyDescent="0.3">
      <c r="A118" s="449"/>
      <c r="B118" s="459" t="s">
        <v>859</v>
      </c>
      <c r="C118" s="459"/>
      <c r="D118" s="459"/>
      <c r="E118" s="460" t="s">
        <v>868</v>
      </c>
      <c r="F118" s="461"/>
      <c r="G118" s="462"/>
      <c r="H118" s="458"/>
    </row>
    <row r="119" spans="1:8" x14ac:dyDescent="0.3">
      <c r="A119" s="450"/>
      <c r="B119" s="260" t="s">
        <v>837</v>
      </c>
      <c r="C119" s="260" t="s">
        <v>838</v>
      </c>
      <c r="D119" s="261" t="s">
        <v>763</v>
      </c>
      <c r="E119" s="260" t="s">
        <v>837</v>
      </c>
      <c r="F119" s="260" t="s">
        <v>838</v>
      </c>
      <c r="G119" s="261" t="s">
        <v>763</v>
      </c>
      <c r="H119" s="458"/>
    </row>
    <row r="120" spans="1:8" x14ac:dyDescent="0.3">
      <c r="A120" s="263" t="s">
        <v>395</v>
      </c>
      <c r="B120" s="266">
        <v>47656</v>
      </c>
      <c r="C120" s="266">
        <v>47159</v>
      </c>
      <c r="D120" s="273">
        <f>C120*100/B120</f>
        <v>98.957109283196246</v>
      </c>
      <c r="E120" s="264">
        <v>41374</v>
      </c>
      <c r="F120" s="264">
        <v>41374</v>
      </c>
      <c r="G120" s="265">
        <f>F120*100/E120</f>
        <v>100</v>
      </c>
      <c r="H120" s="274">
        <f t="shared" ref="H120:H133" si="36">C120+F120</f>
        <v>88533</v>
      </c>
    </row>
    <row r="121" spans="1:8" x14ac:dyDescent="0.3">
      <c r="A121" s="263" t="s">
        <v>386</v>
      </c>
      <c r="B121" s="266">
        <v>76781</v>
      </c>
      <c r="C121" s="266">
        <v>72540</v>
      </c>
      <c r="D121" s="273">
        <f t="shared" ref="D121:D134" si="37">C121*100/B121</f>
        <v>94.476498091975884</v>
      </c>
      <c r="E121" s="264">
        <v>63371</v>
      </c>
      <c r="F121" s="264">
        <v>58269</v>
      </c>
      <c r="G121" s="265">
        <f t="shared" ref="G121:G134" si="38">F121*100/E121</f>
        <v>91.94899875337299</v>
      </c>
      <c r="H121" s="274">
        <f t="shared" si="36"/>
        <v>130809</v>
      </c>
    </row>
    <row r="122" spans="1:8" x14ac:dyDescent="0.3">
      <c r="A122" s="263" t="s">
        <v>839</v>
      </c>
      <c r="B122" s="266">
        <v>38516</v>
      </c>
      <c r="C122" s="266">
        <v>38395</v>
      </c>
      <c r="D122" s="273">
        <f t="shared" si="37"/>
        <v>99.685844843701318</v>
      </c>
      <c r="E122" s="264">
        <v>28439</v>
      </c>
      <c r="F122" s="264">
        <v>28433</v>
      </c>
      <c r="G122" s="265">
        <f t="shared" si="38"/>
        <v>99.978902211751475</v>
      </c>
      <c r="H122" s="274">
        <f t="shared" si="36"/>
        <v>66828</v>
      </c>
    </row>
    <row r="123" spans="1:8" x14ac:dyDescent="0.3">
      <c r="A123" s="263" t="s">
        <v>388</v>
      </c>
      <c r="B123" s="266">
        <v>36163</v>
      </c>
      <c r="C123" s="266">
        <v>34398</v>
      </c>
      <c r="D123" s="273">
        <f>C123*100/B123</f>
        <v>95.119320852805359</v>
      </c>
      <c r="E123" s="264">
        <v>22593</v>
      </c>
      <c r="F123" s="264">
        <v>22510</v>
      </c>
      <c r="G123" s="265">
        <f t="shared" si="38"/>
        <v>99.632629575532249</v>
      </c>
      <c r="H123" s="274">
        <f t="shared" si="36"/>
        <v>56908</v>
      </c>
    </row>
    <row r="124" spans="1:8" x14ac:dyDescent="0.3">
      <c r="A124" s="263" t="s">
        <v>389</v>
      </c>
      <c r="B124" s="266">
        <v>79569</v>
      </c>
      <c r="C124" s="266">
        <v>79559</v>
      </c>
      <c r="D124" s="273">
        <f>C124*100/B124</f>
        <v>99.987432291470299</v>
      </c>
      <c r="E124" s="264">
        <v>59883</v>
      </c>
      <c r="F124" s="264">
        <v>59882</v>
      </c>
      <c r="G124" s="265">
        <f t="shared" si="38"/>
        <v>99.99833007698345</v>
      </c>
      <c r="H124" s="274">
        <f t="shared" si="36"/>
        <v>139441</v>
      </c>
    </row>
    <row r="125" spans="1:8" x14ac:dyDescent="0.3">
      <c r="A125" s="263" t="s">
        <v>840</v>
      </c>
      <c r="B125" s="264">
        <v>22335</v>
      </c>
      <c r="C125" s="264">
        <v>22322</v>
      </c>
      <c r="D125" s="265">
        <v>99.941795388403847</v>
      </c>
      <c r="E125" s="264">
        <v>17529</v>
      </c>
      <c r="F125" s="264">
        <v>17524</v>
      </c>
      <c r="G125" s="265">
        <v>99.971475840036504</v>
      </c>
      <c r="H125" s="274">
        <f t="shared" si="36"/>
        <v>39846</v>
      </c>
    </row>
    <row r="126" spans="1:8" x14ac:dyDescent="0.3">
      <c r="A126" s="263" t="s">
        <v>391</v>
      </c>
      <c r="B126" s="266">
        <v>66918</v>
      </c>
      <c r="C126" s="266">
        <v>66788</v>
      </c>
      <c r="D126" s="273">
        <f t="shared" si="37"/>
        <v>99.805732388893873</v>
      </c>
      <c r="E126" s="264">
        <v>48801</v>
      </c>
      <c r="F126" s="264">
        <v>48671</v>
      </c>
      <c r="G126" s="265">
        <f t="shared" si="38"/>
        <v>99.733612016147205</v>
      </c>
      <c r="H126" s="274">
        <f t="shared" si="36"/>
        <v>115459</v>
      </c>
    </row>
    <row r="127" spans="1:8" x14ac:dyDescent="0.3">
      <c r="A127" s="263" t="s">
        <v>392</v>
      </c>
      <c r="B127" s="266">
        <v>93100</v>
      </c>
      <c r="C127" s="266">
        <v>92790</v>
      </c>
      <c r="D127" s="273">
        <f t="shared" si="37"/>
        <v>99.667024704618683</v>
      </c>
      <c r="E127" s="264">
        <v>76193</v>
      </c>
      <c r="F127" s="264">
        <v>75823</v>
      </c>
      <c r="G127" s="265">
        <f t="shared" si="38"/>
        <v>99.514391085795282</v>
      </c>
      <c r="H127" s="274">
        <f t="shared" si="36"/>
        <v>168613</v>
      </c>
    </row>
    <row r="128" spans="1:8" x14ac:dyDescent="0.3">
      <c r="A128" s="263" t="s">
        <v>393</v>
      </c>
      <c r="B128" s="266">
        <v>65169</v>
      </c>
      <c r="C128" s="266">
        <v>65147</v>
      </c>
      <c r="D128" s="273">
        <f t="shared" si="37"/>
        <v>99.96624161794719</v>
      </c>
      <c r="E128" s="264">
        <v>52104</v>
      </c>
      <c r="F128" s="264">
        <v>52021</v>
      </c>
      <c r="G128" s="265">
        <f t="shared" si="38"/>
        <v>99.840703208966687</v>
      </c>
      <c r="H128" s="274">
        <f t="shared" si="36"/>
        <v>117168</v>
      </c>
    </row>
    <row r="129" spans="1:8" x14ac:dyDescent="0.3">
      <c r="A129" s="263" t="s">
        <v>394</v>
      </c>
      <c r="B129" s="266">
        <v>17389</v>
      </c>
      <c r="C129" s="266">
        <v>17359</v>
      </c>
      <c r="D129" s="273">
        <f t="shared" si="37"/>
        <v>99.827477140721143</v>
      </c>
      <c r="E129" s="264">
        <v>13738</v>
      </c>
      <c r="F129" s="264">
        <v>13701</v>
      </c>
      <c r="G129" s="265">
        <f t="shared" si="38"/>
        <v>99.730674042800985</v>
      </c>
      <c r="H129" s="274">
        <f t="shared" si="36"/>
        <v>31060</v>
      </c>
    </row>
    <row r="130" spans="1:8" x14ac:dyDescent="0.3">
      <c r="A130" s="263" t="s">
        <v>396</v>
      </c>
      <c r="B130" s="266">
        <v>65786</v>
      </c>
      <c r="C130" s="266">
        <v>64234</v>
      </c>
      <c r="D130" s="273">
        <f t="shared" si="37"/>
        <v>97.640835436111033</v>
      </c>
      <c r="E130" s="264">
        <v>59736</v>
      </c>
      <c r="F130" s="264">
        <v>58214</v>
      </c>
      <c r="G130" s="265">
        <f t="shared" si="38"/>
        <v>97.452122673094948</v>
      </c>
      <c r="H130" s="274">
        <f t="shared" si="36"/>
        <v>122448</v>
      </c>
    </row>
    <row r="131" spans="1:8" x14ac:dyDescent="0.3">
      <c r="A131" s="263" t="s">
        <v>398</v>
      </c>
      <c r="B131" s="266">
        <v>84835</v>
      </c>
      <c r="C131" s="266">
        <v>84769</v>
      </c>
      <c r="D131" s="273">
        <f t="shared" si="37"/>
        <v>99.922201921376796</v>
      </c>
      <c r="E131" s="264">
        <v>77115</v>
      </c>
      <c r="F131" s="264">
        <v>77093</v>
      </c>
      <c r="G131" s="265">
        <f t="shared" si="38"/>
        <v>99.971471179407374</v>
      </c>
      <c r="H131" s="274">
        <f t="shared" si="36"/>
        <v>161862</v>
      </c>
    </row>
    <row r="132" spans="1:8" x14ac:dyDescent="0.3">
      <c r="A132" s="263" t="s">
        <v>841</v>
      </c>
      <c r="B132" s="266">
        <v>39972</v>
      </c>
      <c r="C132" s="266">
        <v>39958</v>
      </c>
      <c r="D132" s="273">
        <f t="shared" si="37"/>
        <v>99.964975482837986</v>
      </c>
      <c r="E132" s="264">
        <v>34814</v>
      </c>
      <c r="F132" s="264">
        <v>34808</v>
      </c>
      <c r="G132" s="265">
        <f t="shared" si="38"/>
        <v>99.982765554087436</v>
      </c>
      <c r="H132" s="274">
        <f t="shared" si="36"/>
        <v>74766</v>
      </c>
    </row>
    <row r="133" spans="1:8" x14ac:dyDescent="0.3">
      <c r="A133" s="263" t="s">
        <v>842</v>
      </c>
      <c r="B133" s="266">
        <v>38108</v>
      </c>
      <c r="C133" s="266">
        <v>37834</v>
      </c>
      <c r="D133" s="273">
        <f t="shared" si="37"/>
        <v>99.280990868059206</v>
      </c>
      <c r="E133" s="264">
        <v>34997</v>
      </c>
      <c r="F133" s="264">
        <v>34585</v>
      </c>
      <c r="G133" s="265">
        <f t="shared" si="38"/>
        <v>98.822756236248821</v>
      </c>
      <c r="H133" s="274">
        <f t="shared" si="36"/>
        <v>72419</v>
      </c>
    </row>
    <row r="134" spans="1:8" x14ac:dyDescent="0.3">
      <c r="A134" s="269" t="s">
        <v>828</v>
      </c>
      <c r="B134" s="270">
        <f>SUM(B120:B133)</f>
        <v>772297</v>
      </c>
      <c r="C134" s="270">
        <f>SUM(C120:C133)</f>
        <v>763252</v>
      </c>
      <c r="D134" s="275">
        <f t="shared" si="37"/>
        <v>98.828818446789256</v>
      </c>
      <c r="E134" s="270">
        <f>SUM(E120:E133)</f>
        <v>630687</v>
      </c>
      <c r="F134" s="270">
        <f>SUM(F120:F133)</f>
        <v>622908</v>
      </c>
      <c r="G134" s="271">
        <f t="shared" si="38"/>
        <v>98.766583106992854</v>
      </c>
      <c r="H134" s="270">
        <f>SUM(H120:H133)</f>
        <v>1386160</v>
      </c>
    </row>
    <row r="136" spans="1:8" x14ac:dyDescent="0.3">
      <c r="A136" s="448" t="s">
        <v>761</v>
      </c>
      <c r="B136" s="451" t="s">
        <v>869</v>
      </c>
    </row>
    <row r="137" spans="1:8" x14ac:dyDescent="0.3">
      <c r="A137" s="449"/>
      <c r="B137" s="452"/>
    </row>
    <row r="138" spans="1:8" x14ac:dyDescent="0.3">
      <c r="A138" s="450"/>
      <c r="B138" s="453"/>
    </row>
    <row r="139" spans="1:8" x14ac:dyDescent="0.3">
      <c r="A139" s="263" t="s">
        <v>395</v>
      </c>
      <c r="B139" s="276">
        <f t="shared" ref="B139:B152" si="39">K6+Q25+K63+K82+H101+H120+K44</f>
        <v>932531</v>
      </c>
    </row>
    <row r="140" spans="1:8" x14ac:dyDescent="0.3">
      <c r="A140" s="263" t="s">
        <v>386</v>
      </c>
      <c r="B140" s="276">
        <f t="shared" si="39"/>
        <v>1380534</v>
      </c>
    </row>
    <row r="141" spans="1:8" x14ac:dyDescent="0.3">
      <c r="A141" s="263" t="s">
        <v>839</v>
      </c>
      <c r="B141" s="276">
        <f t="shared" si="39"/>
        <v>721233</v>
      </c>
    </row>
    <row r="142" spans="1:8" x14ac:dyDescent="0.3">
      <c r="A142" s="263" t="s">
        <v>388</v>
      </c>
      <c r="B142" s="276">
        <f t="shared" si="39"/>
        <v>659245</v>
      </c>
    </row>
    <row r="143" spans="1:8" x14ac:dyDescent="0.3">
      <c r="A143" s="263" t="s">
        <v>389</v>
      </c>
      <c r="B143" s="276">
        <f t="shared" si="39"/>
        <v>1464725</v>
      </c>
    </row>
    <row r="144" spans="1:8" x14ac:dyDescent="0.3">
      <c r="A144" s="263" t="s">
        <v>840</v>
      </c>
      <c r="B144" s="276">
        <f t="shared" si="39"/>
        <v>427000</v>
      </c>
    </row>
    <row r="145" spans="1:2" x14ac:dyDescent="0.3">
      <c r="A145" s="263" t="s">
        <v>391</v>
      </c>
      <c r="B145" s="276">
        <f t="shared" si="39"/>
        <v>1218919</v>
      </c>
    </row>
    <row r="146" spans="1:2" x14ac:dyDescent="0.3">
      <c r="A146" s="263" t="s">
        <v>392</v>
      </c>
      <c r="B146" s="276">
        <f t="shared" si="39"/>
        <v>1805172</v>
      </c>
    </row>
    <row r="147" spans="1:2" x14ac:dyDescent="0.3">
      <c r="A147" s="263" t="s">
        <v>393</v>
      </c>
      <c r="B147" s="276">
        <f t="shared" si="39"/>
        <v>1290814</v>
      </c>
    </row>
    <row r="148" spans="1:2" x14ac:dyDescent="0.3">
      <c r="A148" s="263" t="s">
        <v>394</v>
      </c>
      <c r="B148" s="276">
        <f t="shared" si="39"/>
        <v>346651</v>
      </c>
    </row>
    <row r="149" spans="1:2" x14ac:dyDescent="0.3">
      <c r="A149" s="263" t="s">
        <v>396</v>
      </c>
      <c r="B149" s="276">
        <f t="shared" si="39"/>
        <v>1212850</v>
      </c>
    </row>
    <row r="150" spans="1:2" x14ac:dyDescent="0.3">
      <c r="A150" s="263" t="s">
        <v>398</v>
      </c>
      <c r="B150" s="276">
        <f t="shared" si="39"/>
        <v>1582794</v>
      </c>
    </row>
    <row r="151" spans="1:2" x14ac:dyDescent="0.3">
      <c r="A151" s="263" t="s">
        <v>841</v>
      </c>
      <c r="B151" s="276">
        <f t="shared" si="39"/>
        <v>757772</v>
      </c>
    </row>
    <row r="152" spans="1:2" x14ac:dyDescent="0.3">
      <c r="A152" s="263" t="s">
        <v>842</v>
      </c>
      <c r="B152" s="276">
        <f t="shared" si="39"/>
        <v>725250</v>
      </c>
    </row>
    <row r="153" spans="1:2" x14ac:dyDescent="0.3">
      <c r="A153" s="277" t="s">
        <v>828</v>
      </c>
      <c r="B153" s="267">
        <f>K20+Q39+K77+K96+H115+H134+K58</f>
        <v>14525490</v>
      </c>
    </row>
  </sheetData>
  <mergeCells count="59">
    <mergeCell ref="A2:AB2"/>
    <mergeCell ref="A3:A5"/>
    <mergeCell ref="B3:D3"/>
    <mergeCell ref="E3:G3"/>
    <mergeCell ref="H3:J3"/>
    <mergeCell ref="K3:K5"/>
    <mergeCell ref="B4:D4"/>
    <mergeCell ref="E4:G4"/>
    <mergeCell ref="H4:J4"/>
    <mergeCell ref="A22:A24"/>
    <mergeCell ref="B22:D22"/>
    <mergeCell ref="E22:G22"/>
    <mergeCell ref="H22:J22"/>
    <mergeCell ref="K22:M22"/>
    <mergeCell ref="Q22:Q24"/>
    <mergeCell ref="B23:D23"/>
    <mergeCell ref="E23:G23"/>
    <mergeCell ref="H23:J23"/>
    <mergeCell ref="K23:M23"/>
    <mergeCell ref="N23:P23"/>
    <mergeCell ref="N22:P22"/>
    <mergeCell ref="A41:A43"/>
    <mergeCell ref="B41:D41"/>
    <mergeCell ref="E41:G41"/>
    <mergeCell ref="H41:J41"/>
    <mergeCell ref="K41:K43"/>
    <mergeCell ref="B42:D42"/>
    <mergeCell ref="E42:G42"/>
    <mergeCell ref="H42:J42"/>
    <mergeCell ref="A60:A62"/>
    <mergeCell ref="B60:D60"/>
    <mergeCell ref="E60:G60"/>
    <mergeCell ref="H60:J60"/>
    <mergeCell ref="K60:K62"/>
    <mergeCell ref="B61:D61"/>
    <mergeCell ref="E61:G61"/>
    <mergeCell ref="H61:J61"/>
    <mergeCell ref="A79:A81"/>
    <mergeCell ref="B79:D79"/>
    <mergeCell ref="E79:G79"/>
    <mergeCell ref="H79:J79"/>
    <mergeCell ref="K79:K81"/>
    <mergeCell ref="B80:D80"/>
    <mergeCell ref="E80:G80"/>
    <mergeCell ref="H80:J80"/>
    <mergeCell ref="H117:H119"/>
    <mergeCell ref="B118:D118"/>
    <mergeCell ref="E118:G118"/>
    <mergeCell ref="A98:A100"/>
    <mergeCell ref="B98:D98"/>
    <mergeCell ref="E98:G98"/>
    <mergeCell ref="H98:H100"/>
    <mergeCell ref="B99:D99"/>
    <mergeCell ref="E99:G99"/>
    <mergeCell ref="A136:A138"/>
    <mergeCell ref="B136:B138"/>
    <mergeCell ref="A117:A119"/>
    <mergeCell ref="B117:D117"/>
    <mergeCell ref="E117:G117"/>
  </mergeCells>
  <pageMargins left="0.7" right="0.69444444444444442" top="0.75" bottom="0.75" header="0.3" footer="0.3"/>
  <pageSetup paperSize="9" scale="51" orientation="portrait" r:id="rId1"/>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B30"/>
  <sheetViews>
    <sheetView topLeftCell="A10" workbookViewId="0">
      <selection activeCell="B17" sqref="B17:B30"/>
    </sheetView>
  </sheetViews>
  <sheetFormatPr defaultColWidth="8.77734375" defaultRowHeight="14.4" x14ac:dyDescent="0.3"/>
  <cols>
    <col min="2" max="2" width="52.109375" bestFit="1" customWidth="1"/>
  </cols>
  <sheetData>
    <row r="3" spans="2:2" x14ac:dyDescent="0.3">
      <c r="B3" t="s">
        <v>384</v>
      </c>
    </row>
    <row r="4" spans="2:2" x14ac:dyDescent="0.3">
      <c r="B4" t="s">
        <v>385</v>
      </c>
    </row>
    <row r="7" spans="2:2" x14ac:dyDescent="0.3">
      <c r="B7" t="s">
        <v>381</v>
      </c>
    </row>
    <row r="8" spans="2:2" x14ac:dyDescent="0.3">
      <c r="B8" t="s">
        <v>382</v>
      </c>
    </row>
    <row r="9" spans="2:2" x14ac:dyDescent="0.3">
      <c r="B9" t="s">
        <v>383</v>
      </c>
    </row>
    <row r="11" spans="2:2" x14ac:dyDescent="0.3">
      <c r="B11" t="s">
        <v>376</v>
      </c>
    </row>
    <row r="12" spans="2:2" x14ac:dyDescent="0.3">
      <c r="B12" t="s">
        <v>377</v>
      </c>
    </row>
    <row r="13" spans="2:2" x14ac:dyDescent="0.3">
      <c r="B13" t="s">
        <v>378</v>
      </c>
    </row>
    <row r="14" spans="2:2" x14ac:dyDescent="0.3">
      <c r="B14" t="s">
        <v>379</v>
      </c>
    </row>
    <row r="15" spans="2:2" x14ac:dyDescent="0.3">
      <c r="B15" t="s">
        <v>380</v>
      </c>
    </row>
    <row r="17" spans="2:2" x14ac:dyDescent="0.3">
      <c r="B17" t="s">
        <v>386</v>
      </c>
    </row>
    <row r="18" spans="2:2" x14ac:dyDescent="0.3">
      <c r="B18" t="s">
        <v>387</v>
      </c>
    </row>
    <row r="19" spans="2:2" x14ac:dyDescent="0.3">
      <c r="B19" t="s">
        <v>388</v>
      </c>
    </row>
    <row r="20" spans="2:2" x14ac:dyDescent="0.3">
      <c r="B20" t="s">
        <v>389</v>
      </c>
    </row>
    <row r="21" spans="2:2" x14ac:dyDescent="0.3">
      <c r="B21" t="s">
        <v>390</v>
      </c>
    </row>
    <row r="22" spans="2:2" x14ac:dyDescent="0.3">
      <c r="B22" t="s">
        <v>391</v>
      </c>
    </row>
    <row r="23" spans="2:2" x14ac:dyDescent="0.3">
      <c r="B23" t="s">
        <v>392</v>
      </c>
    </row>
    <row r="24" spans="2:2" x14ac:dyDescent="0.3">
      <c r="B24" t="s">
        <v>393</v>
      </c>
    </row>
    <row r="25" spans="2:2" x14ac:dyDescent="0.3">
      <c r="B25" t="s">
        <v>394</v>
      </c>
    </row>
    <row r="26" spans="2:2" x14ac:dyDescent="0.3">
      <c r="B26" t="s">
        <v>395</v>
      </c>
    </row>
    <row r="27" spans="2:2" x14ac:dyDescent="0.3">
      <c r="B27" t="s">
        <v>396</v>
      </c>
    </row>
    <row r="28" spans="2:2" x14ac:dyDescent="0.3">
      <c r="B28" t="s">
        <v>397</v>
      </c>
    </row>
    <row r="29" spans="2:2" x14ac:dyDescent="0.3">
      <c r="B29" t="s">
        <v>398</v>
      </c>
    </row>
    <row r="30" spans="2:2" x14ac:dyDescent="0.3">
      <c r="B30" t="s">
        <v>399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Total</vt:lpstr>
      <vt:lpstr>Transport</vt:lpstr>
      <vt:lpstr>Schools</vt:lpstr>
      <vt:lpstr>Kindergartens</vt:lpstr>
      <vt:lpstr>Hospitals</vt:lpstr>
      <vt:lpstr>Drinking water</vt:lpstr>
      <vt:lpstr>Irrigation</vt:lpstr>
      <vt:lpstr>Vaccination Programme Coverage</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Sherzod</dc:creator>
  <cp:lastModifiedBy>Sherzod Komilov</cp:lastModifiedBy>
  <cp:lastPrinted>2024-07-08T20:21:40Z</cp:lastPrinted>
  <dcterms:created xsi:type="dcterms:W3CDTF">2015-06-05T18:19:34Z</dcterms:created>
  <dcterms:modified xsi:type="dcterms:W3CDTF">2025-01-23T17:17:40Z</dcterms:modified>
</cp:coreProperties>
</file>